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9CD2B7BF-FCB7-499E-866B-F6549E689620}" xr6:coauthVersionLast="47" xr6:coauthVersionMax="47" xr10:uidLastSave="{00000000-0000-0000-0000-000000000000}"/>
  <bookViews>
    <workbookView xWindow="-108" yWindow="-108" windowWidth="23256" windowHeight="12456" xr2:uid="{00000000-000D-0000-FFFF-FFFF00000000}"/>
  </bookViews>
  <sheets>
    <sheet name="How to use" sheetId="1" r:id="rId1"/>
    <sheet name="Loan" sheetId="2" r:id="rId2"/>
    <sheet name="Schedule" sheetId="3" r:id="rId3"/>
    <sheet name="All loans" sheetId="4" r:id="rId4"/>
    <sheet name="Lists" sheetId="5" state="hidden" r:id="rId5"/>
  </sheets>
  <definedNames>
    <definedName name="_xlnm.Print_Titles" localSheetId="2">Schedule!$4:$4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4" l="1"/>
  <c r="B4" i="4"/>
  <c r="B6" i="4" s="1"/>
  <c r="B21" i="2"/>
  <c r="B14" i="2"/>
  <c r="C5" i="3" s="1"/>
  <c r="A5" i="3" l="1"/>
  <c r="E5" i="3"/>
  <c r="I5" i="3" s="1"/>
  <c r="B5" i="3"/>
  <c r="B15" i="2"/>
  <c r="F5" i="3" l="1"/>
  <c r="G5" i="3" s="1"/>
  <c r="H5" i="3" s="1"/>
  <c r="C6" i="3" s="1"/>
  <c r="D5" i="3" l="1"/>
  <c r="E6" i="3"/>
  <c r="B6" i="3"/>
  <c r="A6" i="3"/>
  <c r="I6" i="3" l="1"/>
  <c r="F6" i="3"/>
  <c r="G6" i="3" l="1"/>
  <c r="H6" i="3" s="1"/>
  <c r="C7" i="3" s="1"/>
  <c r="D6" i="3"/>
  <c r="E7" i="3" l="1"/>
  <c r="F7" i="3"/>
  <c r="G7" i="3" s="1"/>
  <c r="B7" i="3"/>
  <c r="A7" i="3"/>
  <c r="D7" i="3" l="1"/>
  <c r="H7" i="3"/>
  <c r="C8" i="3" s="1"/>
  <c r="I7" i="3"/>
  <c r="A8" i="3" l="1"/>
  <c r="E8" i="3"/>
  <c r="I8" i="3" s="1"/>
  <c r="B8" i="3"/>
  <c r="F8" i="3" l="1"/>
  <c r="G8" i="3" l="1"/>
  <c r="H8" i="3" s="1"/>
  <c r="C9" i="3" s="1"/>
  <c r="D8" i="3"/>
  <c r="E9" i="3" l="1"/>
  <c r="I9" i="3" s="1"/>
  <c r="A9" i="3"/>
  <c r="B9" i="3"/>
  <c r="F9" i="3" l="1"/>
  <c r="D9" i="3" s="1"/>
  <c r="G9" i="3" l="1"/>
  <c r="H9" i="3" s="1"/>
  <c r="C10" i="3" s="1"/>
  <c r="B10" i="3" l="1"/>
  <c r="A10" i="3"/>
  <c r="E10" i="3"/>
  <c r="I10" i="3" s="1"/>
  <c r="F10" i="3" l="1"/>
  <c r="D10" i="3" s="1"/>
  <c r="G10" i="3" l="1"/>
  <c r="H10" i="3" s="1"/>
  <c r="C11" i="3" s="1"/>
  <c r="B11" i="3" l="1"/>
  <c r="E11" i="3"/>
  <c r="I11" i="3" s="1"/>
  <c r="A11" i="3"/>
  <c r="F11" i="3" l="1"/>
  <c r="G11" i="3" l="1"/>
  <c r="H11" i="3" s="1"/>
  <c r="C12" i="3" s="1"/>
  <c r="D11" i="3"/>
  <c r="E12" i="3" l="1"/>
  <c r="I12" i="3" s="1"/>
  <c r="B12" i="3"/>
  <c r="A12" i="3"/>
  <c r="F12" i="3" l="1"/>
  <c r="G12" i="3" s="1"/>
  <c r="H12" i="3" l="1"/>
  <c r="C13" i="3" s="1"/>
  <c r="E13" i="3" s="1"/>
  <c r="F13" i="3" s="1"/>
  <c r="D12" i="3"/>
  <c r="A13" i="3" l="1"/>
  <c r="B13" i="3"/>
  <c r="G13" i="3"/>
  <c r="H13" i="3" s="1"/>
  <c r="C14" i="3" s="1"/>
  <c r="D13" i="3"/>
  <c r="I13" i="3"/>
  <c r="A14" i="3" l="1"/>
  <c r="B14" i="3"/>
  <c r="E14" i="3"/>
  <c r="F14" i="3" s="1"/>
  <c r="G14" i="3" l="1"/>
  <c r="H14" i="3" s="1"/>
  <c r="C15" i="3" s="1"/>
  <c r="I14" i="3"/>
  <c r="D14" i="3"/>
  <c r="A15" i="3" l="1"/>
  <c r="B15" i="3"/>
  <c r="E15" i="3"/>
  <c r="F15" i="3" s="1"/>
  <c r="G15" i="3" l="1"/>
  <c r="H15" i="3" s="1"/>
  <c r="C16" i="3" s="1"/>
  <c r="D15" i="3"/>
  <c r="I15" i="3"/>
  <c r="B16" i="3" l="1"/>
  <c r="E16" i="3"/>
  <c r="I16" i="3" s="1"/>
  <c r="A16" i="3"/>
  <c r="F16" i="3" l="1"/>
  <c r="G16" i="3" s="1"/>
  <c r="H16" i="3" s="1"/>
  <c r="C17" i="3" s="1"/>
  <c r="D16" i="3"/>
  <c r="B17" i="3" l="1"/>
  <c r="E17" i="3"/>
  <c r="I17" i="3" s="1"/>
  <c r="A17" i="3"/>
  <c r="F17" i="3" l="1"/>
  <c r="D17" i="3" s="1"/>
  <c r="G17" i="3" l="1"/>
  <c r="H17" i="3" s="1"/>
  <c r="C18" i="3" s="1"/>
  <c r="B18" i="3" l="1"/>
  <c r="A18" i="3"/>
  <c r="E18" i="3"/>
  <c r="I18" i="3" s="1"/>
  <c r="F18" i="3" l="1"/>
  <c r="D18" i="3" s="1"/>
  <c r="G18" i="3" l="1"/>
  <c r="H18" i="3" s="1"/>
  <c r="C19" i="3" s="1"/>
  <c r="A19" i="3" l="1"/>
  <c r="E19" i="3"/>
  <c r="F19" i="3" s="1"/>
  <c r="D19" i="3" s="1"/>
  <c r="B19" i="3"/>
  <c r="I19" i="3" l="1"/>
  <c r="G19" i="3"/>
  <c r="H19" i="3" s="1"/>
  <c r="C20" i="3" s="1"/>
  <c r="E20" i="3" l="1"/>
  <c r="I20" i="3" s="1"/>
  <c r="B20" i="3"/>
  <c r="A20" i="3"/>
  <c r="F20" i="3" l="1"/>
  <c r="D20" i="3" s="1"/>
  <c r="G20" i="3"/>
  <c r="H20" i="3" s="1"/>
  <c r="C21" i="3" s="1"/>
  <c r="B21" i="3" l="1"/>
  <c r="A21" i="3"/>
  <c r="E21" i="3"/>
  <c r="I21" i="3" s="1"/>
  <c r="F21" i="3" l="1"/>
  <c r="G21" i="3" l="1"/>
  <c r="H21" i="3" s="1"/>
  <c r="C22" i="3" s="1"/>
  <c r="D21" i="3"/>
  <c r="A22" i="3" l="1"/>
  <c r="E22" i="3"/>
  <c r="F22" i="3" s="1"/>
  <c r="B22" i="3"/>
  <c r="G22" i="3" l="1"/>
  <c r="H22" i="3" s="1"/>
  <c r="C23" i="3" s="1"/>
  <c r="I22" i="3"/>
  <c r="D22" i="3"/>
  <c r="E23" i="3" l="1"/>
  <c r="I23" i="3" s="1"/>
  <c r="A23" i="3"/>
  <c r="B23" i="3"/>
  <c r="F23" i="3" l="1"/>
  <c r="G23" i="3" s="1"/>
  <c r="H23" i="3" s="1"/>
  <c r="C24" i="3" s="1"/>
  <c r="D23" i="3" l="1"/>
  <c r="B24" i="3"/>
  <c r="A24" i="3"/>
  <c r="E24" i="3"/>
  <c r="I24" i="3" s="1"/>
  <c r="F24" i="3" l="1"/>
  <c r="D24" i="3" s="1"/>
  <c r="G24" i="3" l="1"/>
  <c r="H24" i="3" s="1"/>
  <c r="C25" i="3" s="1"/>
  <c r="B25" i="3" l="1"/>
  <c r="E25" i="3"/>
  <c r="F25" i="3" s="1"/>
  <c r="A25" i="3"/>
  <c r="I25" i="3"/>
  <c r="G25" i="3" l="1"/>
  <c r="H25" i="3" s="1"/>
  <c r="C26" i="3" s="1"/>
  <c r="D25" i="3"/>
  <c r="E26" i="3" l="1"/>
  <c r="F26" i="3" s="1"/>
  <c r="G26" i="3" s="1"/>
  <c r="B26" i="3"/>
  <c r="A26" i="3"/>
  <c r="I26" i="3" l="1"/>
  <c r="D26" i="3"/>
  <c r="H26" i="3"/>
  <c r="C27" i="3" s="1"/>
  <c r="E27" i="3" l="1"/>
  <c r="I27" i="3" s="1"/>
  <c r="A27" i="3"/>
  <c r="B27" i="3"/>
  <c r="F27" i="3" l="1"/>
  <c r="G27" i="3" l="1"/>
  <c r="H27" i="3" s="1"/>
  <c r="C28" i="3" s="1"/>
  <c r="D27" i="3"/>
  <c r="B28" i="3" l="1"/>
  <c r="E28" i="3"/>
  <c r="I28" i="3" s="1"/>
  <c r="A28" i="3"/>
  <c r="F28" i="3" l="1"/>
  <c r="G28" i="3" s="1"/>
  <c r="H28" i="3" s="1"/>
  <c r="C29" i="3" s="1"/>
  <c r="D28" i="3" l="1"/>
  <c r="A29" i="3"/>
  <c r="E29" i="3"/>
  <c r="I29" i="3" s="1"/>
  <c r="B29" i="3"/>
  <c r="F29" i="3" l="1"/>
  <c r="D29" i="3" s="1"/>
  <c r="G29" i="3" l="1"/>
  <c r="H29" i="3" s="1"/>
  <c r="C30" i="3" s="1"/>
  <c r="B30" i="3" l="1"/>
  <c r="A30" i="3"/>
  <c r="E30" i="3"/>
  <c r="I30" i="3" s="1"/>
  <c r="F30" i="3"/>
  <c r="G30" i="3" s="1"/>
  <c r="H30" i="3" s="1"/>
  <c r="D30" i="3" l="1"/>
  <c r="C31" i="3"/>
  <c r="B22" i="2"/>
  <c r="E31" i="3" l="1"/>
  <c r="F31" i="3" s="1"/>
  <c r="A31" i="3"/>
  <c r="B31" i="3"/>
  <c r="G31" i="3" l="1"/>
  <c r="H31" i="3" s="1"/>
  <c r="C32" i="3" s="1"/>
  <c r="D31" i="3"/>
  <c r="I31" i="3"/>
  <c r="E32" i="3" l="1"/>
  <c r="B32" i="3"/>
  <c r="I32" i="3"/>
  <c r="F32" i="3"/>
  <c r="A32" i="3"/>
  <c r="D32" i="3" l="1"/>
  <c r="G32" i="3"/>
  <c r="H32" i="3" s="1"/>
  <c r="C33" i="3" s="1"/>
  <c r="B33" i="3" l="1"/>
  <c r="A33" i="3"/>
  <c r="E33" i="3"/>
  <c r="I33" i="3" s="1"/>
  <c r="F33" i="3" l="1"/>
  <c r="G33" i="3" l="1"/>
  <c r="H33" i="3" s="1"/>
  <c r="C34" i="3" s="1"/>
  <c r="D33" i="3"/>
  <c r="A34" i="3" l="1"/>
  <c r="E34" i="3"/>
  <c r="F34" i="3" s="1"/>
  <c r="B34" i="3"/>
  <c r="G34" i="3" l="1"/>
  <c r="H34" i="3" s="1"/>
  <c r="C35" i="3" s="1"/>
  <c r="D34" i="3"/>
  <c r="I34" i="3"/>
  <c r="B35" i="3" l="1"/>
  <c r="A35" i="3"/>
  <c r="E35" i="3"/>
  <c r="I35" i="3" s="1"/>
  <c r="F35" i="3" l="1"/>
  <c r="G35" i="3" l="1"/>
  <c r="H35" i="3" s="1"/>
  <c r="C36" i="3" s="1"/>
  <c r="D35" i="3"/>
  <c r="E36" i="3" l="1"/>
  <c r="B36" i="3"/>
  <c r="A36" i="3"/>
  <c r="I36" i="3"/>
  <c r="F36" i="3"/>
  <c r="D36" i="3" l="1"/>
  <c r="G36" i="3"/>
  <c r="H36" i="3" s="1"/>
  <c r="C37" i="3" s="1"/>
  <c r="B37" i="3" l="1"/>
  <c r="E37" i="3"/>
  <c r="A37" i="3"/>
  <c r="I37" i="3" l="1"/>
  <c r="F37" i="3"/>
  <c r="G37" i="3" l="1"/>
  <c r="H37" i="3" s="1"/>
  <c r="C38" i="3" s="1"/>
  <c r="D37" i="3"/>
  <c r="E38" i="3" l="1"/>
  <c r="F38" i="3" s="1"/>
  <c r="B38" i="3"/>
  <c r="A38" i="3"/>
  <c r="G38" i="3" l="1"/>
  <c r="H38" i="3" s="1"/>
  <c r="C39" i="3" s="1"/>
  <c r="D38" i="3"/>
  <c r="I38" i="3"/>
  <c r="A39" i="3" l="1"/>
  <c r="B39" i="3"/>
  <c r="E39" i="3"/>
  <c r="F39" i="3" s="1"/>
  <c r="I39" i="3" l="1"/>
  <c r="G39" i="3"/>
  <c r="H39" i="3" s="1"/>
  <c r="C40" i="3" s="1"/>
  <c r="D39" i="3"/>
  <c r="B40" i="3" l="1"/>
  <c r="E40" i="3"/>
  <c r="I40" i="3" s="1"/>
  <c r="A40" i="3"/>
  <c r="F40" i="3" l="1"/>
  <c r="G40" i="3" s="1"/>
  <c r="H40" i="3"/>
  <c r="C41" i="3" s="1"/>
  <c r="D40" i="3"/>
  <c r="E41" i="3" l="1"/>
  <c r="F41" i="3" s="1"/>
  <c r="G41" i="3" s="1"/>
  <c r="B41" i="3"/>
  <c r="I41" i="3"/>
  <c r="A41" i="3"/>
  <c r="D41" i="3" l="1"/>
  <c r="H41" i="3"/>
  <c r="C42" i="3" s="1"/>
  <c r="A42" i="3" l="1"/>
  <c r="E42" i="3"/>
  <c r="B42" i="3"/>
  <c r="F42" i="3" l="1"/>
  <c r="I42" i="3"/>
  <c r="G42" i="3" l="1"/>
  <c r="H42" i="3" s="1"/>
  <c r="C43" i="3" s="1"/>
  <c r="D42" i="3"/>
  <c r="E43" i="3" l="1"/>
  <c r="I43" i="3" s="1"/>
  <c r="A43" i="3"/>
  <c r="B43" i="3"/>
  <c r="F43" i="3" l="1"/>
  <c r="D43" i="3" s="1"/>
  <c r="G43" i="3" l="1"/>
  <c r="H43" i="3" s="1"/>
  <c r="C44" i="3" s="1"/>
  <c r="E44" i="3" l="1"/>
  <c r="I44" i="3" s="1"/>
  <c r="B44" i="3"/>
  <c r="F44" i="3"/>
  <c r="G44" i="3" s="1"/>
  <c r="A44" i="3"/>
  <c r="H44" i="3" l="1"/>
  <c r="C45" i="3" s="1"/>
  <c r="D44" i="3"/>
  <c r="B45" i="3" l="1"/>
  <c r="E45" i="3"/>
  <c r="F45" i="3" s="1"/>
  <c r="A45" i="3"/>
  <c r="G45" i="3" l="1"/>
  <c r="H45" i="3" s="1"/>
  <c r="C46" i="3" s="1"/>
  <c r="I45" i="3"/>
  <c r="D45" i="3"/>
  <c r="B46" i="3" l="1"/>
  <c r="E46" i="3"/>
  <c r="I46" i="3" s="1"/>
  <c r="A46" i="3"/>
  <c r="F46" i="3" l="1"/>
  <c r="D46" i="3" s="1"/>
  <c r="G46" i="3" l="1"/>
  <c r="H46" i="3" s="1"/>
  <c r="C47" i="3" s="1"/>
  <c r="B47" i="3" l="1"/>
  <c r="E47" i="3"/>
  <c r="I47" i="3" s="1"/>
  <c r="A47" i="3"/>
  <c r="F47" i="3" l="1"/>
  <c r="D47" i="3" s="1"/>
  <c r="G47" i="3" l="1"/>
  <c r="H47" i="3" s="1"/>
  <c r="C48" i="3" s="1"/>
  <c r="B48" i="3" l="1"/>
  <c r="E48" i="3"/>
  <c r="F48" i="3" s="1"/>
  <c r="A48" i="3"/>
  <c r="I48" i="3" l="1"/>
  <c r="G48" i="3"/>
  <c r="H48" i="3" s="1"/>
  <c r="C49" i="3" s="1"/>
  <c r="D48" i="3"/>
  <c r="E49" i="3" l="1"/>
  <c r="F49" i="3" s="1"/>
  <c r="I49" i="3"/>
  <c r="B49" i="3"/>
  <c r="A49" i="3"/>
  <c r="D49" i="3" l="1"/>
  <c r="G49" i="3"/>
  <c r="H49" i="3" s="1"/>
  <c r="C50" i="3" s="1"/>
  <c r="A50" i="3" l="1"/>
  <c r="B50" i="3"/>
  <c r="E50" i="3"/>
  <c r="F50" i="3" s="1"/>
  <c r="G50" i="3" s="1"/>
  <c r="H50" i="3" s="1"/>
  <c r="C51" i="3" s="1"/>
  <c r="I50" i="3" l="1"/>
  <c r="D50" i="3"/>
  <c r="E51" i="3"/>
  <c r="I51" i="3" s="1"/>
  <c r="B51" i="3"/>
  <c r="A51" i="3"/>
  <c r="F51" i="3" l="1"/>
  <c r="G51" i="3" l="1"/>
  <c r="H51" i="3" s="1"/>
  <c r="C52" i="3" s="1"/>
  <c r="D51" i="3"/>
  <c r="E52" i="3" l="1"/>
  <c r="B52" i="3"/>
  <c r="A52" i="3"/>
  <c r="F52" i="3" l="1"/>
  <c r="I52" i="3"/>
  <c r="G52" i="3" l="1"/>
  <c r="H52" i="3" s="1"/>
  <c r="C53" i="3" s="1"/>
  <c r="D52" i="3"/>
  <c r="A53" i="3" l="1"/>
  <c r="B53" i="3"/>
  <c r="E53" i="3"/>
  <c r="I53" i="3" s="1"/>
  <c r="F53" i="3" l="1"/>
  <c r="D53" i="3"/>
  <c r="G53" i="3"/>
  <c r="H53" i="3" s="1"/>
  <c r="C54" i="3" s="1"/>
  <c r="B54" i="3" l="1"/>
  <c r="E54" i="3"/>
  <c r="F54" i="3" s="1"/>
  <c r="A54" i="3"/>
  <c r="G54" i="3" l="1"/>
  <c r="H54" i="3" s="1"/>
  <c r="C55" i="3" s="1"/>
  <c r="D54" i="3"/>
  <c r="I54" i="3"/>
  <c r="E55" i="3" l="1"/>
  <c r="I55" i="3" s="1"/>
  <c r="A55" i="3"/>
  <c r="B55" i="3"/>
  <c r="F55" i="3"/>
  <c r="G55" i="3" l="1"/>
  <c r="H55" i="3" s="1"/>
  <c r="C56" i="3" s="1"/>
  <c r="D55" i="3"/>
  <c r="B56" i="3" l="1"/>
  <c r="E56" i="3"/>
  <c r="A56" i="3"/>
  <c r="I56" i="3"/>
  <c r="F56" i="3" l="1"/>
  <c r="G56" i="3" l="1"/>
  <c r="H56" i="3" s="1"/>
  <c r="C57" i="3" s="1"/>
  <c r="D56" i="3"/>
  <c r="B57" i="3" l="1"/>
  <c r="A57" i="3"/>
  <c r="E57" i="3"/>
  <c r="I57" i="3" s="1"/>
  <c r="F57" i="3" l="1"/>
  <c r="G57" i="3" l="1"/>
  <c r="H57" i="3" s="1"/>
  <c r="C58" i="3" s="1"/>
  <c r="D57" i="3"/>
  <c r="E58" i="3" l="1"/>
  <c r="B58" i="3"/>
  <c r="F58" i="3"/>
  <c r="G58" i="3" s="1"/>
  <c r="A58" i="3"/>
  <c r="D58" i="3" l="1"/>
  <c r="H58" i="3"/>
  <c r="C59" i="3" s="1"/>
  <c r="I58" i="3"/>
  <c r="A59" i="3" l="1"/>
  <c r="B59" i="3"/>
  <c r="E59" i="3"/>
  <c r="I59" i="3" l="1"/>
  <c r="F59" i="3"/>
  <c r="G59" i="3" l="1"/>
  <c r="H59" i="3" s="1"/>
  <c r="C60" i="3" s="1"/>
  <c r="D59" i="3"/>
  <c r="E60" i="3" l="1"/>
  <c r="F60" i="3" s="1"/>
  <c r="A60" i="3"/>
  <c r="I60" i="3"/>
  <c r="B60" i="3"/>
  <c r="G60" i="3" l="1"/>
  <c r="H60" i="3" s="1"/>
  <c r="C61" i="3" s="1"/>
  <c r="D60" i="3"/>
  <c r="E61" i="3" l="1"/>
  <c r="I61" i="3" s="1"/>
  <c r="B61" i="3"/>
  <c r="A61" i="3"/>
  <c r="F61" i="3" l="1"/>
  <c r="G61" i="3" l="1"/>
  <c r="H61" i="3" s="1"/>
  <c r="C62" i="3" s="1"/>
  <c r="D61" i="3"/>
  <c r="A62" i="3" l="1"/>
  <c r="E62" i="3"/>
  <c r="I62" i="3" s="1"/>
  <c r="B62" i="3"/>
  <c r="F62" i="3" l="1"/>
  <c r="D62" i="3" s="1"/>
  <c r="G62" i="3" l="1"/>
  <c r="H62" i="3" s="1"/>
  <c r="C63" i="3" s="1"/>
  <c r="E63" i="3" l="1"/>
  <c r="B63" i="3"/>
  <c r="I63" i="3"/>
  <c r="F63" i="3"/>
  <c r="D63" i="3" s="1"/>
  <c r="A63" i="3"/>
  <c r="G63" i="3" l="1"/>
  <c r="H63" i="3" s="1"/>
  <c r="C64" i="3" s="1"/>
  <c r="A64" i="3" l="1"/>
  <c r="B64" i="3"/>
  <c r="E64" i="3"/>
  <c r="F64" i="3" s="1"/>
  <c r="G64" i="3" l="1"/>
  <c r="H64" i="3" s="1"/>
  <c r="C65" i="3" s="1"/>
  <c r="D64" i="3"/>
  <c r="I64" i="3"/>
  <c r="A65" i="3" l="1"/>
  <c r="E65" i="3"/>
  <c r="B65" i="3"/>
  <c r="F65" i="3"/>
  <c r="G65" i="3" s="1"/>
  <c r="D65" i="3" l="1"/>
  <c r="I65" i="3"/>
  <c r="H65" i="3"/>
  <c r="C66" i="3" s="1"/>
  <c r="B66" i="3" l="1"/>
  <c r="E66" i="3"/>
  <c r="I66" i="3" s="1"/>
  <c r="A66" i="3"/>
  <c r="F66" i="3" l="1"/>
  <c r="G66" i="3" s="1"/>
  <c r="H66" i="3" l="1"/>
  <c r="C67" i="3" s="1"/>
  <c r="B67" i="3" s="1"/>
  <c r="D66" i="3"/>
  <c r="E67" i="3" l="1"/>
  <c r="I67" i="3" s="1"/>
  <c r="A67" i="3"/>
  <c r="F67" i="3"/>
  <c r="G67" i="3" l="1"/>
  <c r="H67" i="3" s="1"/>
  <c r="C68" i="3" s="1"/>
  <c r="D67" i="3"/>
  <c r="A68" i="3" l="1"/>
  <c r="E68" i="3"/>
  <c r="I68" i="3" s="1"/>
  <c r="B68" i="3"/>
  <c r="F68" i="3" l="1"/>
  <c r="G68" i="3" l="1"/>
  <c r="H68" i="3" s="1"/>
  <c r="C69" i="3" s="1"/>
  <c r="D68" i="3"/>
  <c r="E69" i="3" l="1"/>
  <c r="I69" i="3" s="1"/>
  <c r="B69" i="3"/>
  <c r="A69" i="3"/>
  <c r="F69" i="3" l="1"/>
  <c r="D69" i="3" s="1"/>
  <c r="G69" i="3" l="1"/>
  <c r="H69" i="3" s="1"/>
  <c r="C70" i="3" s="1"/>
  <c r="E70" i="3" s="1"/>
  <c r="I70" i="3" s="1"/>
  <c r="B70" i="3" l="1"/>
  <c r="A70" i="3"/>
  <c r="F70" i="3"/>
  <c r="G70" i="3" s="1"/>
  <c r="D70" i="3" l="1"/>
  <c r="H70" i="3"/>
  <c r="C71" i="3" s="1"/>
  <c r="B71" i="3" l="1"/>
  <c r="E71" i="3"/>
  <c r="F71" i="3" s="1"/>
  <c r="A71" i="3"/>
  <c r="G71" i="3" l="1"/>
  <c r="H71" i="3" s="1"/>
  <c r="C72" i="3" s="1"/>
  <c r="E72" i="3" s="1"/>
  <c r="I71" i="3"/>
  <c r="D71" i="3"/>
  <c r="B72" i="3" l="1"/>
  <c r="A72" i="3"/>
  <c r="I72" i="3"/>
  <c r="F72" i="3"/>
  <c r="G72" i="3" l="1"/>
  <c r="H72" i="3" s="1"/>
  <c r="C73" i="3" s="1"/>
  <c r="D72" i="3"/>
  <c r="E73" i="3" l="1"/>
  <c r="I73" i="3" s="1"/>
  <c r="B73" i="3"/>
  <c r="F73" i="3"/>
  <c r="D73" i="3" s="1"/>
  <c r="A73" i="3"/>
  <c r="G73" i="3" l="1"/>
  <c r="H73" i="3" s="1"/>
  <c r="C74" i="3" s="1"/>
  <c r="A74" i="3" l="1"/>
  <c r="E74" i="3"/>
  <c r="F74" i="3" s="1"/>
  <c r="B74" i="3"/>
  <c r="G74" i="3" l="1"/>
  <c r="H74" i="3" s="1"/>
  <c r="C75" i="3" s="1"/>
  <c r="I74" i="3"/>
  <c r="D74" i="3"/>
  <c r="E75" i="3" l="1"/>
  <c r="F75" i="3" s="1"/>
  <c r="B75" i="3"/>
  <c r="A75" i="3"/>
  <c r="G75" i="3" l="1"/>
  <c r="H75" i="3" s="1"/>
  <c r="C76" i="3" s="1"/>
  <c r="I75" i="3"/>
  <c r="D75" i="3"/>
  <c r="B76" i="3" l="1"/>
  <c r="A76" i="3"/>
  <c r="E76" i="3"/>
  <c r="I76" i="3"/>
  <c r="F76" i="3" l="1"/>
  <c r="D76" i="3" s="1"/>
  <c r="G76" i="3" l="1"/>
  <c r="H76" i="3" s="1"/>
  <c r="C77" i="3" s="1"/>
  <c r="B77" i="3" l="1"/>
  <c r="E77" i="3"/>
  <c r="F77" i="3" s="1"/>
  <c r="D77" i="3" s="1"/>
  <c r="A77" i="3"/>
  <c r="I77" i="3" l="1"/>
  <c r="G77" i="3"/>
  <c r="H77" i="3" s="1"/>
  <c r="C78" i="3" s="1"/>
  <c r="A78" i="3" l="1"/>
  <c r="E78" i="3"/>
  <c r="I78" i="3" s="1"/>
  <c r="B78" i="3"/>
  <c r="F78" i="3" l="1"/>
  <c r="G78" i="3" l="1"/>
  <c r="H78" i="3" s="1"/>
  <c r="C79" i="3" s="1"/>
  <c r="D78" i="3"/>
  <c r="A79" i="3" l="1"/>
  <c r="E79" i="3"/>
  <c r="I79" i="3" s="1"/>
  <c r="B79" i="3"/>
  <c r="F79" i="3" l="1"/>
  <c r="G79" i="3"/>
  <c r="H79" i="3" s="1"/>
  <c r="C80" i="3" s="1"/>
  <c r="D79" i="3"/>
  <c r="B80" i="3" l="1"/>
  <c r="A80" i="3"/>
  <c r="E80" i="3"/>
  <c r="I80" i="3" s="1"/>
  <c r="F80" i="3" l="1"/>
  <c r="D80" i="3" s="1"/>
  <c r="G80" i="3" l="1"/>
  <c r="H80" i="3" s="1"/>
  <c r="C81" i="3" s="1"/>
  <c r="B81" i="3" l="1"/>
  <c r="E81" i="3"/>
  <c r="A81" i="3"/>
  <c r="F81" i="3" l="1"/>
  <c r="I81" i="3"/>
  <c r="G81" i="3" l="1"/>
  <c r="H81" i="3" s="1"/>
  <c r="C82" i="3" s="1"/>
  <c r="D81" i="3"/>
  <c r="A82" i="3" l="1"/>
  <c r="B82" i="3"/>
  <c r="E82" i="3"/>
  <c r="I82" i="3" l="1"/>
  <c r="F82" i="3"/>
  <c r="G82" i="3" l="1"/>
  <c r="H82" i="3" s="1"/>
  <c r="C83" i="3" s="1"/>
  <c r="D82" i="3"/>
  <c r="E83" i="3" l="1"/>
  <c r="I83" i="3" s="1"/>
  <c r="A83" i="3"/>
  <c r="B83" i="3"/>
  <c r="F83" i="3" l="1"/>
  <c r="D83" i="3" s="1"/>
  <c r="G83" i="3" l="1"/>
  <c r="H83" i="3" s="1"/>
  <c r="C84" i="3" s="1"/>
  <c r="B84" i="3" s="1"/>
  <c r="E84" i="3" l="1"/>
  <c r="A84" i="3"/>
  <c r="I84" i="3" l="1"/>
  <c r="F84" i="3"/>
  <c r="G84" i="3" s="1"/>
  <c r="H84" i="3" s="1"/>
  <c r="C85" i="3" s="1"/>
  <c r="E85" i="3" s="1"/>
  <c r="I85" i="3" s="1"/>
  <c r="A85" i="3" l="1"/>
  <c r="B85" i="3"/>
  <c r="D84" i="3"/>
  <c r="F85" i="3"/>
  <c r="G85" i="3" l="1"/>
  <c r="H85" i="3" s="1"/>
  <c r="C86" i="3" s="1"/>
  <c r="D85" i="3"/>
  <c r="E86" i="3" l="1"/>
  <c r="I86" i="3" s="1"/>
  <c r="B86" i="3"/>
  <c r="A86" i="3"/>
  <c r="F86" i="3" l="1"/>
  <c r="D86" i="3" s="1"/>
  <c r="G86" i="3" l="1"/>
  <c r="H86" i="3" s="1"/>
  <c r="C87" i="3" s="1"/>
  <c r="B87" i="3" s="1"/>
  <c r="A87" i="3"/>
  <c r="E87" i="3" l="1"/>
  <c r="I87" i="3" s="1"/>
  <c r="F87" i="3" l="1"/>
  <c r="G87" i="3"/>
  <c r="H87" i="3" s="1"/>
  <c r="C88" i="3" s="1"/>
  <c r="D87" i="3"/>
  <c r="B88" i="3" l="1"/>
  <c r="E88" i="3"/>
  <c r="F88" i="3" s="1"/>
  <c r="A88" i="3"/>
  <c r="I88" i="3" l="1"/>
  <c r="G88" i="3"/>
  <c r="H88" i="3" s="1"/>
  <c r="C89" i="3" s="1"/>
  <c r="D88" i="3"/>
  <c r="E89" i="3" l="1"/>
  <c r="F89" i="3" s="1"/>
  <c r="A89" i="3"/>
  <c r="B89" i="3"/>
  <c r="I89" i="3"/>
  <c r="D89" i="3" l="1"/>
  <c r="G89" i="3"/>
  <c r="H89" i="3" s="1"/>
  <c r="C90" i="3" s="1"/>
  <c r="B90" i="3" l="1"/>
  <c r="E90" i="3"/>
  <c r="F90" i="3" s="1"/>
  <c r="A90" i="3"/>
  <c r="I90" i="3" l="1"/>
  <c r="G90" i="3"/>
  <c r="H90" i="3" s="1"/>
  <c r="C91" i="3" s="1"/>
  <c r="D90" i="3"/>
  <c r="A91" i="3" l="1"/>
  <c r="E91" i="3"/>
  <c r="F91" i="3" s="1"/>
  <c r="B91" i="3"/>
  <c r="I91" i="3" l="1"/>
  <c r="G91" i="3"/>
  <c r="H91" i="3" s="1"/>
  <c r="C92" i="3" s="1"/>
  <c r="D91" i="3"/>
  <c r="B92" i="3" l="1"/>
  <c r="E92" i="3"/>
  <c r="I92" i="3" s="1"/>
  <c r="A92" i="3"/>
  <c r="F92" i="3" l="1"/>
  <c r="D92" i="3" s="1"/>
  <c r="G92" i="3" l="1"/>
  <c r="H92" i="3" s="1"/>
  <c r="C93" i="3" s="1"/>
  <c r="A93" i="3" s="1"/>
  <c r="B93" i="3" l="1"/>
  <c r="E93" i="3"/>
  <c r="I93" i="3" s="1"/>
  <c r="F93" i="3" l="1"/>
  <c r="G93" i="3"/>
  <c r="H93" i="3" s="1"/>
  <c r="C94" i="3" s="1"/>
  <c r="D93" i="3"/>
  <c r="E94" i="3" l="1"/>
  <c r="I94" i="3" s="1"/>
  <c r="B94" i="3"/>
  <c r="A94" i="3"/>
  <c r="F94" i="3" l="1"/>
  <c r="D94" i="3" s="1"/>
  <c r="G94" i="3" l="1"/>
  <c r="H94" i="3" s="1"/>
  <c r="C95" i="3" s="1"/>
  <c r="B95" i="3" s="1"/>
  <c r="E95" i="3" l="1"/>
  <c r="F95" i="3" s="1"/>
  <c r="G95" i="3" s="1"/>
  <c r="H95" i="3" s="1"/>
  <c r="C96" i="3" s="1"/>
  <c r="A95" i="3"/>
  <c r="D95" i="3" l="1"/>
  <c r="I95" i="3"/>
  <c r="B96" i="3"/>
  <c r="E96" i="3"/>
  <c r="F96" i="3" s="1"/>
  <c r="A96" i="3"/>
  <c r="I96" i="3" l="1"/>
  <c r="G96" i="3"/>
  <c r="H96" i="3" s="1"/>
  <c r="C97" i="3" s="1"/>
  <c r="D96" i="3"/>
  <c r="A97" i="3" l="1"/>
  <c r="E97" i="3"/>
  <c r="I97" i="3" s="1"/>
  <c r="B97" i="3"/>
  <c r="F97" i="3" l="1"/>
  <c r="D97" i="3" s="1"/>
  <c r="G97" i="3" l="1"/>
  <c r="H97" i="3" s="1"/>
  <c r="C98" i="3" s="1"/>
  <c r="B98" i="3" s="1"/>
  <c r="E98" i="3" l="1"/>
  <c r="F98" i="3" s="1"/>
  <c r="D98" i="3" s="1"/>
  <c r="A98" i="3"/>
  <c r="I98" i="3" l="1"/>
  <c r="G98" i="3"/>
  <c r="H98" i="3" s="1"/>
  <c r="C99" i="3" s="1"/>
  <c r="A99" i="3" l="1"/>
  <c r="B99" i="3"/>
  <c r="E99" i="3"/>
  <c r="I99" i="3" s="1"/>
  <c r="F99" i="3" l="1"/>
  <c r="G99" i="3" s="1"/>
  <c r="H99" i="3" s="1"/>
  <c r="C100" i="3" s="1"/>
  <c r="D99" i="3"/>
  <c r="B100" i="3" l="1"/>
  <c r="E100" i="3"/>
  <c r="F100" i="3" s="1"/>
  <c r="A100" i="3"/>
  <c r="I100" i="3" l="1"/>
  <c r="G100" i="3"/>
  <c r="H100" i="3" s="1"/>
  <c r="C101" i="3" s="1"/>
  <c r="D100" i="3"/>
  <c r="A101" i="3" l="1"/>
  <c r="E101" i="3"/>
  <c r="F101" i="3" s="1"/>
  <c r="B101" i="3"/>
  <c r="I101" i="3" l="1"/>
  <c r="G101" i="3"/>
  <c r="H101" i="3" s="1"/>
  <c r="C102" i="3" s="1"/>
  <c r="D101" i="3"/>
  <c r="E102" i="3" l="1"/>
  <c r="I102" i="3" s="1"/>
  <c r="B102" i="3"/>
  <c r="A102" i="3"/>
  <c r="F102" i="3" l="1"/>
  <c r="G102" i="3" s="1"/>
  <c r="H102" i="3" s="1"/>
  <c r="C103" i="3" s="1"/>
  <c r="D102" i="3" l="1"/>
  <c r="E103" i="3"/>
  <c r="F103" i="3" s="1"/>
  <c r="A103" i="3"/>
  <c r="B103" i="3"/>
  <c r="I103" i="3"/>
  <c r="G103" i="3" l="1"/>
  <c r="H103" i="3" s="1"/>
  <c r="C104" i="3" s="1"/>
  <c r="D103" i="3"/>
  <c r="A104" i="3" l="1"/>
  <c r="E104" i="3"/>
  <c r="I104" i="3" s="1"/>
  <c r="B104" i="3"/>
  <c r="F104" i="3" l="1"/>
  <c r="D104" i="3" s="1"/>
  <c r="G104" i="3" l="1"/>
  <c r="H104" i="3" s="1"/>
  <c r="C105" i="3" s="1"/>
  <c r="B105" i="3" l="1"/>
  <c r="E105" i="3"/>
  <c r="I105" i="3" s="1"/>
  <c r="A105" i="3"/>
  <c r="F105" i="3" l="1"/>
  <c r="G105" i="3" s="1"/>
  <c r="D105" i="3" l="1"/>
  <c r="H105" i="3"/>
  <c r="C106" i="3" s="1"/>
  <c r="E106" i="3" l="1"/>
  <c r="I106" i="3" s="1"/>
  <c r="B106" i="3"/>
  <c r="A106" i="3"/>
  <c r="F106" i="3" l="1"/>
  <c r="D106" i="3" l="1"/>
  <c r="G106" i="3"/>
  <c r="H106" i="3" s="1"/>
  <c r="C107" i="3" s="1"/>
  <c r="B107" i="3" l="1"/>
  <c r="E107" i="3"/>
  <c r="I107" i="3" s="1"/>
  <c r="A107" i="3"/>
  <c r="F107" i="3" l="1"/>
  <c r="D107" i="3" l="1"/>
  <c r="G107" i="3"/>
  <c r="H107" i="3" s="1"/>
  <c r="C108" i="3" s="1"/>
  <c r="E108" i="3" l="1"/>
  <c r="I108" i="3" s="1"/>
  <c r="B108" i="3"/>
  <c r="A108" i="3"/>
  <c r="F108" i="3" l="1"/>
  <c r="G108" i="3" l="1"/>
  <c r="H108" i="3" s="1"/>
  <c r="C109" i="3" s="1"/>
  <c r="D108" i="3"/>
  <c r="B109" i="3" l="1"/>
  <c r="E109" i="3"/>
  <c r="I109" i="3" s="1"/>
  <c r="A109" i="3"/>
  <c r="F109" i="3" l="1"/>
  <c r="G109" i="3" l="1"/>
  <c r="H109" i="3" s="1"/>
  <c r="C110" i="3" s="1"/>
  <c r="D109" i="3"/>
  <c r="B110" i="3" l="1"/>
  <c r="E110" i="3"/>
  <c r="I110" i="3" s="1"/>
  <c r="A110" i="3"/>
  <c r="F110" i="3" l="1"/>
  <c r="G110" i="3" s="1"/>
  <c r="H110" i="3" s="1"/>
  <c r="C111" i="3" s="1"/>
  <c r="A111" i="3" s="1"/>
  <c r="E111" i="3" l="1"/>
  <c r="F111" i="3" s="1"/>
  <c r="G111" i="3" s="1"/>
  <c r="H111" i="3" s="1"/>
  <c r="C112" i="3" s="1"/>
  <c r="B111" i="3"/>
  <c r="D110" i="3"/>
  <c r="D111" i="3" l="1"/>
  <c r="I111" i="3"/>
  <c r="A112" i="3"/>
  <c r="E112" i="3"/>
  <c r="B112" i="3"/>
  <c r="F112" i="3" l="1"/>
  <c r="D112" i="3" s="1"/>
  <c r="I112" i="3"/>
  <c r="G112" i="3" l="1"/>
  <c r="H112" i="3" s="1"/>
  <c r="C113" i="3" s="1"/>
  <c r="E113" i="3" l="1"/>
  <c r="I113" i="3" s="1"/>
  <c r="A113" i="3"/>
  <c r="B113" i="3"/>
  <c r="F113" i="3"/>
  <c r="D113" i="3" s="1"/>
  <c r="G113" i="3" l="1"/>
  <c r="H113" i="3" s="1"/>
  <c r="C114" i="3" s="1"/>
  <c r="B114" i="3" l="1"/>
  <c r="E114" i="3"/>
  <c r="F114" i="3" s="1"/>
  <c r="A114" i="3"/>
  <c r="G114" i="3" l="1"/>
  <c r="H114" i="3" s="1"/>
  <c r="C115" i="3" s="1"/>
  <c r="I114" i="3"/>
  <c r="D114" i="3"/>
  <c r="A115" i="3" l="1"/>
  <c r="B115" i="3"/>
  <c r="E115" i="3"/>
  <c r="I115" i="3" s="1"/>
  <c r="F115" i="3" l="1"/>
  <c r="D115" i="3" s="1"/>
  <c r="G115" i="3" l="1"/>
  <c r="H115" i="3" s="1"/>
  <c r="C116" i="3" s="1"/>
  <c r="B116" i="3" l="1"/>
  <c r="A116" i="3"/>
  <c r="E116" i="3"/>
  <c r="F116" i="3" s="1"/>
  <c r="G116" i="3" l="1"/>
  <c r="H116" i="3" s="1"/>
  <c r="C117" i="3" s="1"/>
  <c r="I116" i="3"/>
  <c r="D116" i="3"/>
  <c r="E117" i="3" l="1"/>
  <c r="A117" i="3"/>
  <c r="B117" i="3"/>
  <c r="I117" i="3" l="1"/>
  <c r="F117" i="3"/>
  <c r="D117" i="3" s="1"/>
  <c r="G117" i="3" l="1"/>
  <c r="H117" i="3" s="1"/>
  <c r="C118" i="3" s="1"/>
  <c r="B118" i="3" l="1"/>
  <c r="A118" i="3"/>
  <c r="E118" i="3"/>
  <c r="F118" i="3" l="1"/>
  <c r="I118" i="3"/>
  <c r="G118" i="3" l="1"/>
  <c r="H118" i="3" s="1"/>
  <c r="C119" i="3" s="1"/>
  <c r="D118" i="3"/>
  <c r="A119" i="3" l="1"/>
  <c r="B119" i="3"/>
  <c r="E119" i="3"/>
  <c r="I119" i="3" l="1"/>
  <c r="F119" i="3"/>
  <c r="D119" i="3" s="1"/>
  <c r="G119" i="3" l="1"/>
  <c r="H119" i="3" s="1"/>
  <c r="C120" i="3" s="1"/>
  <c r="B120" i="3" l="1"/>
  <c r="E120" i="3"/>
  <c r="F120" i="3" s="1"/>
  <c r="A120" i="3"/>
  <c r="I120" i="3" l="1"/>
  <c r="G120" i="3"/>
  <c r="H120" i="3" s="1"/>
  <c r="C121" i="3" s="1"/>
  <c r="D120" i="3"/>
  <c r="A121" i="3" l="1"/>
  <c r="B121" i="3"/>
  <c r="E121" i="3"/>
  <c r="F121" i="3" s="1"/>
  <c r="I121" i="3" l="1"/>
  <c r="D121" i="3"/>
  <c r="G121" i="3"/>
  <c r="H121" i="3" s="1"/>
  <c r="C122" i="3" s="1"/>
  <c r="A122" i="3" l="1"/>
  <c r="E122" i="3"/>
  <c r="F122" i="3" s="1"/>
  <c r="B122" i="3"/>
  <c r="I122" i="3" l="1"/>
  <c r="D122" i="3"/>
  <c r="G122" i="3"/>
  <c r="H122" i="3" s="1"/>
  <c r="C123" i="3" s="1"/>
  <c r="E123" i="3" l="1"/>
  <c r="F123" i="3" s="1"/>
  <c r="B123" i="3"/>
  <c r="A123" i="3"/>
  <c r="G123" i="3" l="1"/>
  <c r="H123" i="3" s="1"/>
  <c r="C124" i="3" s="1"/>
  <c r="I123" i="3"/>
  <c r="D123" i="3"/>
  <c r="B124" i="3" l="1"/>
  <c r="E124" i="3"/>
  <c r="I124" i="3" s="1"/>
  <c r="A124" i="3"/>
  <c r="F124" i="3" l="1"/>
  <c r="G124" i="3" l="1"/>
  <c r="H124" i="3" s="1"/>
  <c r="C125" i="3" s="1"/>
  <c r="D124" i="3"/>
  <c r="E125" i="3" l="1"/>
  <c r="I125" i="3" s="1"/>
  <c r="B125" i="3"/>
  <c r="A125" i="3"/>
  <c r="F125" i="3" l="1"/>
  <c r="D125" i="3" s="1"/>
  <c r="G125" i="3"/>
  <c r="H125" i="3" s="1"/>
  <c r="C126" i="3" s="1"/>
  <c r="A126" i="3" s="1"/>
  <c r="E126" i="3" l="1"/>
  <c r="F126" i="3" s="1"/>
  <c r="B126" i="3"/>
  <c r="I126" i="3" l="1"/>
  <c r="G126" i="3"/>
  <c r="H126" i="3" s="1"/>
  <c r="C127" i="3" s="1"/>
  <c r="D126" i="3"/>
  <c r="E127" i="3" l="1"/>
  <c r="I127" i="3" s="1"/>
  <c r="B127" i="3"/>
  <c r="A127" i="3"/>
  <c r="F127" i="3" l="1"/>
  <c r="G127" i="3" l="1"/>
  <c r="H127" i="3" s="1"/>
  <c r="C128" i="3" s="1"/>
  <c r="D127" i="3"/>
  <c r="B128" i="3" l="1"/>
  <c r="E128" i="3"/>
  <c r="F128" i="3" s="1"/>
  <c r="D128" i="3" s="1"/>
  <c r="A128" i="3"/>
  <c r="I128" i="3" l="1"/>
  <c r="G128" i="3"/>
  <c r="H128" i="3" s="1"/>
  <c r="C129" i="3" s="1"/>
  <c r="A129" i="3" l="1"/>
  <c r="E129" i="3"/>
  <c r="I129" i="3" s="1"/>
  <c r="B129" i="3"/>
  <c r="F129" i="3" l="1"/>
  <c r="D129" i="3" l="1"/>
  <c r="G129" i="3"/>
  <c r="H129" i="3" s="1"/>
  <c r="C130" i="3" s="1"/>
  <c r="E130" i="3" l="1"/>
  <c r="B130" i="3"/>
  <c r="A130" i="3"/>
  <c r="F130" i="3" l="1"/>
  <c r="I130" i="3"/>
  <c r="G130" i="3" l="1"/>
  <c r="H130" i="3" s="1"/>
  <c r="C131" i="3" s="1"/>
  <c r="D130" i="3"/>
  <c r="E131" i="3" l="1"/>
  <c r="B131" i="3"/>
  <c r="A131" i="3"/>
  <c r="F131" i="3" l="1"/>
  <c r="I131" i="3"/>
  <c r="G131" i="3" l="1"/>
  <c r="H131" i="3" s="1"/>
  <c r="C132" i="3" s="1"/>
  <c r="D131" i="3"/>
  <c r="B132" i="3" l="1"/>
  <c r="E132" i="3"/>
  <c r="F132" i="3" s="1"/>
  <c r="A132" i="3"/>
  <c r="G132" i="3" l="1"/>
  <c r="H132" i="3" s="1"/>
  <c r="C133" i="3" s="1"/>
  <c r="I132" i="3"/>
  <c r="D132" i="3"/>
  <c r="I133" i="3" l="1"/>
  <c r="E133" i="3"/>
  <c r="F133" i="3" s="1"/>
  <c r="B133" i="3"/>
  <c r="A133" i="3"/>
  <c r="D133" i="3" l="1"/>
  <c r="G133" i="3"/>
  <c r="H133" i="3" s="1"/>
  <c r="C134" i="3" s="1"/>
  <c r="A134" i="3" l="1"/>
  <c r="E134" i="3"/>
  <c r="B134" i="3"/>
  <c r="I134" i="3" l="1"/>
  <c r="F134" i="3"/>
  <c r="G134" i="3" s="1"/>
  <c r="H134" i="3" l="1"/>
  <c r="C135" i="3" s="1"/>
  <c r="A135" i="3" s="1"/>
  <c r="D134" i="3"/>
  <c r="E135" i="3" l="1"/>
  <c r="B135" i="3"/>
  <c r="F135" i="3" l="1"/>
  <c r="D135" i="3" s="1"/>
  <c r="I135" i="3"/>
  <c r="G135" i="3" l="1"/>
  <c r="H135" i="3" s="1"/>
  <c r="C136" i="3" s="1"/>
  <c r="B136" i="3" l="1"/>
  <c r="A136" i="3"/>
  <c r="E136" i="3"/>
  <c r="F136" i="3" l="1"/>
  <c r="G136" i="3" s="1"/>
  <c r="H136" i="3" s="1"/>
  <c r="C137" i="3" s="1"/>
  <c r="E137" i="3" s="1"/>
  <c r="I136" i="3"/>
  <c r="A137" i="3" l="1"/>
  <c r="D136" i="3"/>
  <c r="F137" i="3"/>
  <c r="G137" i="3" s="1"/>
  <c r="B137" i="3"/>
  <c r="I137" i="3"/>
  <c r="H137" i="3" l="1"/>
  <c r="C138" i="3" s="1"/>
  <c r="B138" i="3" s="1"/>
  <c r="D137" i="3"/>
  <c r="A138" i="3" l="1"/>
  <c r="E138" i="3"/>
  <c r="I138" i="3" s="1"/>
  <c r="F138" i="3" l="1"/>
  <c r="D138" i="3" s="1"/>
  <c r="G138" i="3" l="1"/>
  <c r="H138" i="3" s="1"/>
  <c r="C139" i="3" s="1"/>
  <c r="A139" i="3" s="1"/>
  <c r="B139" i="3" l="1"/>
  <c r="E139" i="3"/>
  <c r="I139" i="3" s="1"/>
  <c r="F139" i="3"/>
  <c r="D139" i="3" s="1"/>
  <c r="G139" i="3" l="1"/>
  <c r="H139" i="3" s="1"/>
  <c r="C140" i="3" s="1"/>
  <c r="B140" i="3" l="1"/>
  <c r="E140" i="3"/>
  <c r="F140" i="3" s="1"/>
  <c r="A140" i="3"/>
  <c r="G140" i="3" l="1"/>
  <c r="H140" i="3" s="1"/>
  <c r="C141" i="3" s="1"/>
  <c r="D140" i="3"/>
  <c r="I140" i="3"/>
  <c r="B141" i="3" l="1"/>
  <c r="E141" i="3"/>
  <c r="F141" i="3" s="1"/>
  <c r="A141" i="3"/>
  <c r="G141" i="3" l="1"/>
  <c r="H141" i="3" s="1"/>
  <c r="C142" i="3" s="1"/>
  <c r="I141" i="3"/>
  <c r="D141" i="3"/>
  <c r="B142" i="3" l="1"/>
  <c r="E142" i="3"/>
  <c r="I142" i="3" s="1"/>
  <c r="A142" i="3"/>
  <c r="F142" i="3" l="1"/>
  <c r="D142" i="3" s="1"/>
  <c r="G142" i="3" l="1"/>
  <c r="H142" i="3" s="1"/>
  <c r="C143" i="3" s="1"/>
  <c r="E143" i="3" l="1"/>
  <c r="F143" i="3" s="1"/>
  <c r="I143" i="3"/>
  <c r="A143" i="3"/>
  <c r="B143" i="3"/>
  <c r="G143" i="3" l="1"/>
  <c r="H143" i="3" s="1"/>
  <c r="C144" i="3" s="1"/>
  <c r="D143" i="3"/>
  <c r="B144" i="3" l="1"/>
  <c r="E144" i="3"/>
  <c r="A144" i="3"/>
  <c r="I144" i="3" l="1"/>
  <c r="F144" i="3"/>
  <c r="G144" i="3" l="1"/>
  <c r="H144" i="3" s="1"/>
  <c r="C145" i="3" s="1"/>
  <c r="D144" i="3"/>
  <c r="A145" i="3" l="1"/>
  <c r="B145" i="3"/>
  <c r="E145" i="3"/>
  <c r="I145" i="3" s="1"/>
  <c r="F145" i="3" l="1"/>
  <c r="D145" i="3" s="1"/>
  <c r="G145" i="3" l="1"/>
  <c r="H145" i="3" s="1"/>
  <c r="C146" i="3" s="1"/>
  <c r="E146" i="3" s="1"/>
  <c r="F146" i="3" s="1"/>
  <c r="B146" i="3" l="1"/>
  <c r="A146" i="3"/>
  <c r="G146" i="3"/>
  <c r="H146" i="3" s="1"/>
  <c r="C147" i="3" s="1"/>
  <c r="I146" i="3"/>
  <c r="D146" i="3"/>
  <c r="E147" i="3" l="1"/>
  <c r="I147" i="3" s="1"/>
  <c r="B147" i="3"/>
  <c r="A147" i="3"/>
  <c r="F147" i="3" l="1"/>
  <c r="D147" i="3" s="1"/>
  <c r="G147" i="3" l="1"/>
  <c r="H147" i="3" s="1"/>
  <c r="C148" i="3" s="1"/>
  <c r="E148" i="3" s="1"/>
  <c r="I148" i="3" s="1"/>
  <c r="A148" i="3" l="1"/>
  <c r="B148" i="3"/>
  <c r="F148" i="3"/>
  <c r="D148" i="3" s="1"/>
  <c r="G148" i="3" l="1"/>
  <c r="H148" i="3" s="1"/>
  <c r="C149" i="3" s="1"/>
  <c r="E149" i="3" l="1"/>
  <c r="B149" i="3"/>
  <c r="A149" i="3"/>
  <c r="F149" i="3" l="1"/>
  <c r="I149" i="3"/>
  <c r="G149" i="3" l="1"/>
  <c r="H149" i="3" s="1"/>
  <c r="C150" i="3" s="1"/>
  <c r="D149" i="3"/>
  <c r="E150" i="3" l="1"/>
  <c r="I150" i="3" s="1"/>
  <c r="A150" i="3"/>
  <c r="B150" i="3"/>
  <c r="F150" i="3" l="1"/>
  <c r="G150" i="3" l="1"/>
  <c r="H150" i="3" s="1"/>
  <c r="C151" i="3" s="1"/>
  <c r="D150" i="3"/>
  <c r="A151" i="3" l="1"/>
  <c r="E151" i="3"/>
  <c r="I151" i="3" s="1"/>
  <c r="B151" i="3"/>
  <c r="F151" i="3" l="1"/>
  <c r="G151" i="3" l="1"/>
  <c r="H151" i="3" s="1"/>
  <c r="C152" i="3" s="1"/>
  <c r="D151" i="3"/>
  <c r="A152" i="3" l="1"/>
  <c r="B152" i="3"/>
  <c r="E152" i="3"/>
  <c r="F152" i="3" s="1"/>
  <c r="I152" i="3" l="1"/>
  <c r="G152" i="3"/>
  <c r="H152" i="3" s="1"/>
  <c r="C153" i="3" s="1"/>
  <c r="D152" i="3"/>
  <c r="B153" i="3" l="1"/>
  <c r="A153" i="3"/>
  <c r="E153" i="3"/>
  <c r="F153" i="3" s="1"/>
  <c r="I153" i="3" l="1"/>
  <c r="D153" i="3"/>
  <c r="G153" i="3"/>
  <c r="H153" i="3" s="1"/>
  <c r="C154" i="3" s="1"/>
  <c r="B154" i="3" l="1"/>
  <c r="E154" i="3"/>
  <c r="A154" i="3"/>
  <c r="F154" i="3" l="1"/>
  <c r="I154" i="3"/>
  <c r="G154" i="3" l="1"/>
  <c r="H154" i="3" s="1"/>
  <c r="C155" i="3" s="1"/>
  <c r="D154" i="3"/>
  <c r="E155" i="3" l="1"/>
  <c r="A155" i="3"/>
  <c r="I155" i="3"/>
  <c r="B155" i="3"/>
  <c r="F155" i="3"/>
  <c r="D155" i="3" s="1"/>
  <c r="G155" i="3" l="1"/>
  <c r="H155" i="3" s="1"/>
  <c r="C156" i="3" s="1"/>
  <c r="E156" i="3" l="1"/>
  <c r="B156" i="3"/>
  <c r="A156" i="3"/>
  <c r="F156" i="3"/>
  <c r="D156" i="3" s="1"/>
  <c r="I156" i="3"/>
  <c r="G156" i="3" l="1"/>
  <c r="H156" i="3" s="1"/>
  <c r="C157" i="3" s="1"/>
  <c r="A157" i="3" l="1"/>
  <c r="E157" i="3"/>
  <c r="I157" i="3" s="1"/>
  <c r="B157" i="3"/>
  <c r="F157" i="3" l="1"/>
  <c r="G157" i="3" s="1"/>
  <c r="H157" i="3" l="1"/>
  <c r="C158" i="3" s="1"/>
  <c r="B158" i="3" s="1"/>
  <c r="D157" i="3"/>
  <c r="E158" i="3" l="1"/>
  <c r="A158" i="3"/>
  <c r="F158" i="3"/>
  <c r="I158" i="3"/>
  <c r="G158" i="3" l="1"/>
  <c r="H158" i="3" s="1"/>
  <c r="C159" i="3" s="1"/>
  <c r="D158" i="3"/>
  <c r="A159" i="3" l="1"/>
  <c r="E159" i="3"/>
  <c r="F159" i="3" s="1"/>
  <c r="B159" i="3"/>
  <c r="I159" i="3"/>
  <c r="G159" i="3" l="1"/>
  <c r="H159" i="3" s="1"/>
  <c r="C160" i="3" s="1"/>
  <c r="D159" i="3"/>
  <c r="B160" i="3" l="1"/>
  <c r="E160" i="3"/>
  <c r="I160" i="3" s="1"/>
  <c r="A160" i="3"/>
  <c r="F160" i="3" l="1"/>
  <c r="D160" i="3" s="1"/>
  <c r="G160" i="3" l="1"/>
  <c r="H160" i="3" s="1"/>
  <c r="C161" i="3" s="1"/>
  <c r="B161" i="3" s="1"/>
  <c r="A161" i="3" l="1"/>
  <c r="E161" i="3"/>
  <c r="I161" i="3" s="1"/>
  <c r="F161" i="3"/>
  <c r="G161" i="3" l="1"/>
  <c r="H161" i="3" s="1"/>
  <c r="C162" i="3" s="1"/>
  <c r="D161" i="3"/>
  <c r="A162" i="3" l="1"/>
  <c r="I162" i="3"/>
  <c r="E162" i="3"/>
  <c r="B162" i="3"/>
  <c r="F162" i="3" l="1"/>
  <c r="G162" i="3" l="1"/>
  <c r="H162" i="3" s="1"/>
  <c r="C163" i="3" s="1"/>
  <c r="D162" i="3"/>
  <c r="A163" i="3" l="1"/>
  <c r="B163" i="3"/>
  <c r="E163" i="3"/>
  <c r="I163" i="3" s="1"/>
  <c r="F163" i="3" l="1"/>
  <c r="D163" i="3" s="1"/>
  <c r="G163" i="3" l="1"/>
  <c r="H163" i="3" s="1"/>
  <c r="C164" i="3" s="1"/>
  <c r="E164" i="3" l="1"/>
  <c r="I164" i="3" s="1"/>
  <c r="B164" i="3"/>
  <c r="A164" i="3"/>
  <c r="F164" i="3" l="1"/>
  <c r="G164" i="3" l="1"/>
  <c r="H164" i="3" s="1"/>
  <c r="C165" i="3" s="1"/>
  <c r="D164" i="3"/>
  <c r="B165" i="3" l="1"/>
  <c r="A165" i="3"/>
  <c r="E165" i="3"/>
  <c r="F165" i="3" l="1"/>
  <c r="I165" i="3"/>
  <c r="G165" i="3" l="1"/>
  <c r="H165" i="3" s="1"/>
  <c r="C166" i="3" s="1"/>
  <c r="D165" i="3"/>
  <c r="E166" i="3" l="1"/>
  <c r="I166" i="3"/>
  <c r="A166" i="3"/>
  <c r="B166" i="3"/>
  <c r="F166" i="3" l="1"/>
  <c r="G166" i="3" l="1"/>
  <c r="H166" i="3" s="1"/>
  <c r="C167" i="3" s="1"/>
  <c r="D166" i="3"/>
  <c r="E167" i="3" l="1"/>
  <c r="I167" i="3" s="1"/>
  <c r="B167" i="3"/>
  <c r="A167" i="3"/>
  <c r="F167" i="3" l="1"/>
  <c r="G167" i="3" s="1"/>
  <c r="D167" i="3" l="1"/>
  <c r="H167" i="3"/>
  <c r="C168" i="3" s="1"/>
  <c r="E168" i="3" s="1"/>
  <c r="I168" i="3" l="1"/>
  <c r="A168" i="3"/>
  <c r="F168" i="3"/>
  <c r="G168" i="3" s="1"/>
  <c r="B168" i="3"/>
  <c r="D168" i="3" l="1"/>
  <c r="H168" i="3"/>
  <c r="C169" i="3" s="1"/>
  <c r="A169" i="3" s="1"/>
  <c r="B169" i="3" l="1"/>
  <c r="E169" i="3"/>
  <c r="I169" i="3" s="1"/>
  <c r="F169" i="3"/>
  <c r="G169" i="3" l="1"/>
  <c r="H169" i="3" s="1"/>
  <c r="C170" i="3" s="1"/>
  <c r="D169" i="3"/>
  <c r="E170" i="3" l="1"/>
  <c r="I170" i="3" s="1"/>
  <c r="B170" i="3"/>
  <c r="A170" i="3"/>
  <c r="F170" i="3" l="1"/>
  <c r="D170" i="3" s="1"/>
  <c r="G170" i="3" l="1"/>
  <c r="H170" i="3" s="1"/>
  <c r="C171" i="3" s="1"/>
  <c r="A171" i="3" l="1"/>
  <c r="E171" i="3"/>
  <c r="F171" i="3" s="1"/>
  <c r="G171" i="3" s="1"/>
  <c r="B171" i="3"/>
  <c r="D171" i="3" l="1"/>
  <c r="I171" i="3"/>
  <c r="H171" i="3"/>
  <c r="C172" i="3" s="1"/>
  <c r="E172" i="3" l="1"/>
  <c r="I172" i="3" s="1"/>
  <c r="B172" i="3"/>
  <c r="A172" i="3"/>
  <c r="F172" i="3" l="1"/>
  <c r="G172" i="3" s="1"/>
  <c r="D172" i="3"/>
  <c r="H172" i="3" l="1"/>
  <c r="C173" i="3" s="1"/>
  <c r="B173" i="3" s="1"/>
  <c r="A173" i="3" l="1"/>
  <c r="E173" i="3"/>
  <c r="F173" i="3" s="1"/>
  <c r="G173" i="3" s="1"/>
  <c r="I173" i="3"/>
  <c r="H173" i="3" l="1"/>
  <c r="C174" i="3" s="1"/>
  <c r="E174" i="3" s="1"/>
  <c r="I174" i="3" s="1"/>
  <c r="D173" i="3"/>
  <c r="B174" i="3" l="1"/>
  <c r="A174" i="3"/>
  <c r="F174" i="3"/>
  <c r="G174" i="3" l="1"/>
  <c r="H174" i="3" s="1"/>
  <c r="C175" i="3" s="1"/>
  <c r="D174" i="3"/>
  <c r="E175" i="3" l="1"/>
  <c r="F175" i="3" s="1"/>
  <c r="G175" i="3" s="1"/>
  <c r="A175" i="3"/>
  <c r="B175" i="3"/>
  <c r="I175" i="3" l="1"/>
  <c r="H175" i="3"/>
  <c r="C176" i="3" s="1"/>
  <c r="D175" i="3"/>
  <c r="E176" i="3" l="1"/>
  <c r="F176" i="3" s="1"/>
  <c r="I176" i="3"/>
  <c r="B176" i="3"/>
  <c r="A176" i="3"/>
  <c r="G176" i="3" l="1"/>
  <c r="H176" i="3" s="1"/>
  <c r="C177" i="3" s="1"/>
  <c r="D176" i="3"/>
  <c r="A177" i="3" l="1"/>
  <c r="B177" i="3"/>
  <c r="E177" i="3"/>
  <c r="F177" i="3" s="1"/>
  <c r="G177" i="3" l="1"/>
  <c r="H177" i="3" s="1"/>
  <c r="C178" i="3" s="1"/>
  <c r="D177" i="3"/>
  <c r="I177" i="3"/>
  <c r="A178" i="3" l="1"/>
  <c r="B178" i="3"/>
  <c r="E178" i="3"/>
  <c r="I178" i="3" s="1"/>
  <c r="F178" i="3" l="1"/>
  <c r="D178" i="3" s="1"/>
  <c r="G178" i="3" l="1"/>
  <c r="H178" i="3" s="1"/>
  <c r="C179" i="3" s="1"/>
  <c r="A179" i="3" l="1"/>
  <c r="E179" i="3"/>
  <c r="I179" i="3" s="1"/>
  <c r="B179" i="3"/>
  <c r="F179" i="3" l="1"/>
  <c r="D179" i="3" s="1"/>
  <c r="G179" i="3" l="1"/>
  <c r="H179" i="3" s="1"/>
  <c r="C180" i="3" s="1"/>
  <c r="A180" i="3" l="1"/>
  <c r="E180" i="3"/>
  <c r="F180" i="3" s="1"/>
  <c r="B180" i="3"/>
  <c r="I180" i="3" l="1"/>
  <c r="D180" i="3"/>
  <c r="G180" i="3"/>
  <c r="H180" i="3" s="1"/>
  <c r="C181" i="3" s="1"/>
  <c r="A181" i="3" l="1"/>
  <c r="B181" i="3"/>
  <c r="E181" i="3"/>
  <c r="F181" i="3" s="1"/>
  <c r="I181" i="3" l="1"/>
  <c r="G181" i="3"/>
  <c r="H181" i="3" s="1"/>
  <c r="C182" i="3" s="1"/>
  <c r="D181" i="3"/>
  <c r="E182" i="3" l="1"/>
  <c r="A182" i="3"/>
  <c r="B182" i="3"/>
  <c r="I182" i="3" l="1"/>
  <c r="F182" i="3"/>
  <c r="D182" i="3" s="1"/>
  <c r="G182" i="3" l="1"/>
  <c r="H182" i="3" s="1"/>
  <c r="C183" i="3" s="1"/>
  <c r="E183" i="3" l="1"/>
  <c r="B183" i="3"/>
  <c r="A183" i="3"/>
  <c r="F183" i="3" l="1"/>
  <c r="D183" i="3" s="1"/>
  <c r="I183" i="3"/>
  <c r="G183" i="3" l="1"/>
  <c r="H183" i="3" s="1"/>
  <c r="C184" i="3" s="1"/>
  <c r="B184" i="3" l="1"/>
  <c r="E184" i="3"/>
  <c r="F184" i="3" s="1"/>
  <c r="A184" i="3"/>
  <c r="I184" i="3" l="1"/>
  <c r="G184" i="3"/>
  <c r="H184" i="3" s="1"/>
  <c r="C185" i="3" s="1"/>
  <c r="D184" i="3"/>
  <c r="E185" i="3" l="1"/>
  <c r="I185" i="3" s="1"/>
  <c r="A185" i="3"/>
  <c r="B185" i="3"/>
  <c r="F185" i="3" l="1"/>
  <c r="D185" i="3" s="1"/>
  <c r="G185" i="3" l="1"/>
  <c r="H185" i="3" s="1"/>
  <c r="C186" i="3" s="1"/>
  <c r="E186" i="3" l="1"/>
  <c r="B186" i="3"/>
  <c r="A186" i="3"/>
  <c r="F186" i="3" l="1"/>
  <c r="D186" i="3" s="1"/>
  <c r="I186" i="3"/>
  <c r="G186" i="3"/>
  <c r="H186" i="3" s="1"/>
  <c r="C187" i="3" s="1"/>
  <c r="A187" i="3" l="1"/>
  <c r="B187" i="3"/>
  <c r="E187" i="3"/>
  <c r="F187" i="3" s="1"/>
  <c r="I187" i="3" l="1"/>
  <c r="G187" i="3"/>
  <c r="H187" i="3" s="1"/>
  <c r="C188" i="3" s="1"/>
  <c r="D187" i="3"/>
  <c r="B188" i="3" l="1"/>
  <c r="E188" i="3"/>
  <c r="A188" i="3"/>
  <c r="I188" i="3" l="1"/>
  <c r="F188" i="3"/>
  <c r="G188" i="3" l="1"/>
  <c r="H188" i="3" s="1"/>
  <c r="C189" i="3" s="1"/>
  <c r="D188" i="3"/>
  <c r="E189" i="3" l="1"/>
  <c r="F189" i="3" s="1"/>
  <c r="I189" i="3"/>
  <c r="B189" i="3"/>
  <c r="A189" i="3"/>
  <c r="D189" i="3" l="1"/>
  <c r="G189" i="3"/>
  <c r="H189" i="3" s="1"/>
  <c r="C190" i="3" s="1"/>
  <c r="B190" i="3" l="1"/>
  <c r="E190" i="3"/>
  <c r="F190" i="3" s="1"/>
  <c r="A190" i="3"/>
  <c r="G190" i="3" l="1"/>
  <c r="H190" i="3" s="1"/>
  <c r="C191" i="3" s="1"/>
  <c r="I190" i="3"/>
  <c r="D190" i="3"/>
  <c r="A191" i="3" l="1"/>
  <c r="E191" i="3"/>
  <c r="I191" i="3" s="1"/>
  <c r="B191" i="3"/>
  <c r="F191" i="3" l="1"/>
  <c r="G191" i="3" l="1"/>
  <c r="H191" i="3" s="1"/>
  <c r="C192" i="3" s="1"/>
  <c r="D191" i="3"/>
  <c r="E192" i="3" l="1"/>
  <c r="A192" i="3"/>
  <c r="B192" i="3"/>
  <c r="I192" i="3" l="1"/>
  <c r="F192" i="3"/>
  <c r="G192" i="3" l="1"/>
  <c r="H192" i="3" s="1"/>
  <c r="C193" i="3" s="1"/>
  <c r="D192" i="3"/>
  <c r="A193" i="3" l="1"/>
  <c r="B193" i="3"/>
  <c r="E193" i="3"/>
  <c r="I193" i="3" l="1"/>
  <c r="F193" i="3"/>
  <c r="G193" i="3" s="1"/>
  <c r="H193" i="3" l="1"/>
  <c r="C194" i="3" s="1"/>
  <c r="A194" i="3" s="1"/>
  <c r="D193" i="3"/>
  <c r="E194" i="3" l="1"/>
  <c r="B194" i="3"/>
  <c r="F194" i="3" l="1"/>
  <c r="G194" i="3" s="1"/>
  <c r="H194" i="3" s="1"/>
  <c r="C195" i="3" s="1"/>
  <c r="B195" i="3" s="1"/>
  <c r="I194" i="3"/>
  <c r="A195" i="3" l="1"/>
  <c r="E195" i="3"/>
  <c r="D194" i="3"/>
  <c r="I195" i="3"/>
  <c r="F195" i="3"/>
  <c r="G195" i="3" l="1"/>
  <c r="H195" i="3" s="1"/>
  <c r="C196" i="3" s="1"/>
  <c r="D195" i="3"/>
  <c r="B196" i="3" l="1"/>
  <c r="E196" i="3"/>
  <c r="F196" i="3" s="1"/>
  <c r="A196" i="3"/>
  <c r="I196" i="3" l="1"/>
  <c r="G196" i="3"/>
  <c r="H196" i="3" s="1"/>
  <c r="C197" i="3" s="1"/>
  <c r="D196" i="3"/>
  <c r="E197" i="3" l="1"/>
  <c r="A197" i="3"/>
  <c r="B197" i="3"/>
  <c r="F197" i="3" l="1"/>
  <c r="I197" i="3"/>
  <c r="G197" i="3" l="1"/>
  <c r="H197" i="3" s="1"/>
  <c r="C198" i="3" s="1"/>
  <c r="D197" i="3"/>
  <c r="E198" i="3" l="1"/>
  <c r="I198" i="3" s="1"/>
  <c r="A198" i="3"/>
  <c r="B198" i="3"/>
  <c r="F198" i="3" l="1"/>
  <c r="G198" i="3" l="1"/>
  <c r="H198" i="3" s="1"/>
  <c r="C199" i="3" s="1"/>
  <c r="D198" i="3"/>
  <c r="A199" i="3" l="1"/>
  <c r="E199" i="3"/>
  <c r="B199" i="3"/>
  <c r="I199" i="3" l="1"/>
  <c r="F199" i="3"/>
  <c r="G199" i="3" l="1"/>
  <c r="H199" i="3" s="1"/>
  <c r="C200" i="3" s="1"/>
  <c r="D199" i="3"/>
  <c r="A200" i="3" l="1"/>
  <c r="E200" i="3"/>
  <c r="F200" i="3" s="1"/>
  <c r="B200" i="3"/>
  <c r="I200" i="3" l="1"/>
  <c r="G200" i="3"/>
  <c r="H200" i="3" s="1"/>
  <c r="C201" i="3" s="1"/>
  <c r="D200" i="3"/>
  <c r="A201" i="3" l="1"/>
  <c r="E201" i="3"/>
  <c r="F201" i="3" s="1"/>
  <c r="G201" i="3" s="1"/>
  <c r="H201" i="3" s="1"/>
  <c r="C202" i="3" s="1"/>
  <c r="B201" i="3"/>
  <c r="I201" i="3" l="1"/>
  <c r="D201" i="3"/>
  <c r="B202" i="3"/>
  <c r="I202" i="3"/>
  <c r="E202" i="3"/>
  <c r="F202" i="3" s="1"/>
  <c r="D202" i="3" s="1"/>
  <c r="A202" i="3"/>
  <c r="G202" i="3" l="1"/>
  <c r="H202" i="3" s="1"/>
  <c r="C203" i="3" s="1"/>
  <c r="E203" i="3" l="1"/>
  <c r="F203" i="3" s="1"/>
  <c r="I203" i="3"/>
  <c r="B203" i="3"/>
  <c r="A203" i="3"/>
  <c r="G203" i="3" l="1"/>
  <c r="H203" i="3" s="1"/>
  <c r="C204" i="3" s="1"/>
  <c r="D203" i="3"/>
  <c r="E204" i="3" l="1"/>
  <c r="A204" i="3"/>
  <c r="B204" i="3"/>
  <c r="I204" i="3" l="1"/>
  <c r="F204" i="3"/>
  <c r="D204" i="3" s="1"/>
  <c r="G204" i="3" l="1"/>
  <c r="H204" i="3" s="1"/>
  <c r="C205" i="3" s="1"/>
  <c r="E205" i="3" l="1"/>
  <c r="B205" i="3"/>
  <c r="A205" i="3"/>
  <c r="I205" i="3"/>
  <c r="F205" i="3" l="1"/>
  <c r="G205" i="3" l="1"/>
  <c r="H205" i="3" s="1"/>
  <c r="C206" i="3" s="1"/>
  <c r="D205" i="3"/>
  <c r="B206" i="3" l="1"/>
  <c r="A206" i="3"/>
  <c r="E206" i="3"/>
  <c r="F206" i="3" s="1"/>
  <c r="I206" i="3" l="1"/>
  <c r="G206" i="3"/>
  <c r="H206" i="3" s="1"/>
  <c r="C207" i="3" s="1"/>
  <c r="D206" i="3"/>
  <c r="A207" i="3" l="1"/>
  <c r="B207" i="3"/>
  <c r="E207" i="3"/>
  <c r="I207" i="3" s="1"/>
  <c r="F207" i="3" l="1"/>
  <c r="D207" i="3" s="1"/>
  <c r="G207" i="3" l="1"/>
  <c r="H207" i="3" s="1"/>
  <c r="C208" i="3" s="1"/>
  <c r="B208" i="3" l="1"/>
  <c r="E208" i="3"/>
  <c r="I208" i="3" s="1"/>
  <c r="A208" i="3"/>
  <c r="F208" i="3" l="1"/>
  <c r="G208" i="3" l="1"/>
  <c r="H208" i="3" s="1"/>
  <c r="C209" i="3" s="1"/>
  <c r="D208" i="3"/>
  <c r="B209" i="3" l="1"/>
  <c r="A209" i="3"/>
  <c r="E209" i="3"/>
  <c r="F209" i="3" s="1"/>
  <c r="D209" i="3" s="1"/>
  <c r="I209" i="3" l="1"/>
  <c r="G209" i="3"/>
  <c r="H209" i="3" s="1"/>
  <c r="C210" i="3" s="1"/>
  <c r="B210" i="3" l="1"/>
  <c r="E210" i="3"/>
  <c r="F210" i="3" s="1"/>
  <c r="A210" i="3"/>
  <c r="G210" i="3" l="1"/>
  <c r="H210" i="3" s="1"/>
  <c r="C211" i="3" s="1"/>
  <c r="I210" i="3"/>
  <c r="D210" i="3"/>
  <c r="E211" i="3" l="1"/>
  <c r="B211" i="3"/>
  <c r="A211" i="3"/>
  <c r="F211" i="3" l="1"/>
  <c r="I211" i="3"/>
  <c r="G211" i="3" l="1"/>
  <c r="H211" i="3" s="1"/>
  <c r="C212" i="3" s="1"/>
  <c r="D211" i="3"/>
  <c r="E212" i="3" l="1"/>
  <c r="I212" i="3" s="1"/>
  <c r="B212" i="3"/>
  <c r="A212" i="3"/>
  <c r="F212" i="3" l="1"/>
  <c r="D212" i="3" s="1"/>
  <c r="G212" i="3" l="1"/>
  <c r="H212" i="3" s="1"/>
  <c r="C213" i="3" s="1"/>
  <c r="A213" i="3" l="1"/>
  <c r="E213" i="3"/>
  <c r="I213" i="3" s="1"/>
  <c r="B213" i="3"/>
  <c r="F213" i="3" l="1"/>
  <c r="G213" i="3" s="1"/>
  <c r="H213" i="3" s="1"/>
  <c r="C214" i="3" s="1"/>
  <c r="D213" i="3" l="1"/>
  <c r="A214" i="3"/>
  <c r="E214" i="3"/>
  <c r="F214" i="3" s="1"/>
  <c r="B214" i="3"/>
  <c r="G214" i="3" l="1"/>
  <c r="H214" i="3" s="1"/>
  <c r="C215" i="3" s="1"/>
  <c r="I214" i="3"/>
  <c r="D214" i="3"/>
  <c r="B215" i="3" l="1"/>
  <c r="E215" i="3"/>
  <c r="F215" i="3" s="1"/>
  <c r="A215" i="3"/>
  <c r="I215" i="3" l="1"/>
  <c r="G215" i="3"/>
  <c r="H215" i="3" s="1"/>
  <c r="C216" i="3" s="1"/>
  <c r="D215" i="3"/>
  <c r="B216" i="3" l="1"/>
  <c r="E216" i="3"/>
  <c r="F216" i="3" s="1"/>
  <c r="I216" i="3"/>
  <c r="A216" i="3"/>
  <c r="G216" i="3" l="1"/>
  <c r="H216" i="3" s="1"/>
  <c r="C217" i="3" s="1"/>
  <c r="D216" i="3"/>
  <c r="E217" i="3" l="1"/>
  <c r="A217" i="3"/>
  <c r="B217" i="3"/>
  <c r="I217" i="3" l="1"/>
  <c r="F217" i="3"/>
  <c r="G217" i="3" l="1"/>
  <c r="H217" i="3" s="1"/>
  <c r="C218" i="3" s="1"/>
  <c r="D217" i="3"/>
  <c r="E218" i="3" l="1"/>
  <c r="I218" i="3"/>
  <c r="A218" i="3"/>
  <c r="B218" i="3"/>
  <c r="F218" i="3" l="1"/>
  <c r="G218" i="3" l="1"/>
  <c r="H218" i="3" s="1"/>
  <c r="C219" i="3" s="1"/>
  <c r="D218" i="3"/>
  <c r="A219" i="3" l="1"/>
  <c r="E219" i="3"/>
  <c r="F219" i="3" s="1"/>
  <c r="B219" i="3"/>
  <c r="I219" i="3" l="1"/>
  <c r="D219" i="3"/>
  <c r="G219" i="3"/>
  <c r="H219" i="3" s="1"/>
  <c r="C220" i="3" s="1"/>
  <c r="H220" i="3" l="1"/>
  <c r="C221" i="3" s="1"/>
  <c r="D220" i="3"/>
  <c r="A220" i="3"/>
  <c r="B220" i="3"/>
  <c r="I220" i="3"/>
  <c r="G220" i="3"/>
  <c r="F220" i="3"/>
  <c r="E220" i="3"/>
  <c r="I221" i="3" l="1"/>
  <c r="G221" i="3"/>
  <c r="F221" i="3"/>
  <c r="B221" i="3"/>
  <c r="H221" i="3"/>
  <c r="C222" i="3" s="1"/>
  <c r="E221" i="3"/>
  <c r="D221" i="3"/>
  <c r="A221" i="3"/>
  <c r="B222" i="3" l="1"/>
  <c r="A222" i="3"/>
  <c r="E222" i="3"/>
  <c r="H222" i="3"/>
  <c r="C223" i="3" s="1"/>
  <c r="G222" i="3"/>
  <c r="F222" i="3"/>
  <c r="I222" i="3"/>
  <c r="D222" i="3"/>
  <c r="E223" i="3" l="1"/>
  <c r="B223" i="3"/>
  <c r="I223" i="3"/>
  <c r="G223" i="3"/>
  <c r="F223" i="3"/>
  <c r="D223" i="3"/>
  <c r="A223" i="3"/>
  <c r="H223" i="3"/>
  <c r="C224" i="3" s="1"/>
  <c r="E224" i="3" l="1"/>
  <c r="D224" i="3"/>
  <c r="H224" i="3"/>
  <c r="C225" i="3" s="1"/>
  <c r="I224" i="3"/>
  <c r="F224" i="3"/>
  <c r="A224" i="3"/>
  <c r="G224" i="3"/>
  <c r="B224" i="3"/>
  <c r="G225" i="3" l="1"/>
  <c r="F225" i="3"/>
  <c r="B225" i="3"/>
  <c r="I225" i="3"/>
  <c r="H225" i="3"/>
  <c r="C226" i="3" s="1"/>
  <c r="D225" i="3"/>
  <c r="A225" i="3"/>
  <c r="E225" i="3"/>
  <c r="I226" i="3" l="1"/>
  <c r="H226" i="3"/>
  <c r="C227" i="3" s="1"/>
  <c r="D226" i="3"/>
  <c r="A226" i="3"/>
  <c r="F226" i="3"/>
  <c r="E226" i="3"/>
  <c r="B226" i="3"/>
  <c r="G226" i="3"/>
  <c r="E227" i="3" l="1"/>
  <c r="I227" i="3"/>
  <c r="G227" i="3"/>
  <c r="H227" i="3"/>
  <c r="C228" i="3" s="1"/>
  <c r="D227" i="3"/>
  <c r="F227" i="3"/>
  <c r="B227" i="3"/>
  <c r="A227" i="3"/>
  <c r="B228" i="3" l="1"/>
  <c r="I228" i="3"/>
  <c r="D228" i="3"/>
  <c r="E228" i="3"/>
  <c r="A228" i="3"/>
  <c r="H228" i="3"/>
  <c r="C229" i="3" s="1"/>
  <c r="G228" i="3"/>
  <c r="F228" i="3"/>
  <c r="G229" i="3" l="1"/>
  <c r="E229" i="3"/>
  <c r="D229" i="3"/>
  <c r="H229" i="3"/>
  <c r="C230" i="3" s="1"/>
  <c r="A229" i="3"/>
  <c r="B229" i="3"/>
  <c r="I229" i="3"/>
  <c r="F229" i="3"/>
  <c r="B230" i="3" l="1"/>
  <c r="G230" i="3"/>
  <c r="H230" i="3"/>
  <c r="C231" i="3" s="1"/>
  <c r="F230" i="3"/>
  <c r="E230" i="3"/>
  <c r="D230" i="3"/>
  <c r="I230" i="3"/>
  <c r="A230" i="3"/>
  <c r="I231" i="3" l="1"/>
  <c r="G231" i="3"/>
  <c r="B231" i="3"/>
  <c r="E231" i="3"/>
  <c r="F231" i="3"/>
  <c r="D231" i="3"/>
  <c r="A231" i="3"/>
  <c r="H231" i="3"/>
  <c r="C232" i="3" s="1"/>
  <c r="D232" i="3" l="1"/>
  <c r="B232" i="3"/>
  <c r="A232" i="3"/>
  <c r="G232" i="3"/>
  <c r="F232" i="3"/>
  <c r="I232" i="3"/>
  <c r="H232" i="3"/>
  <c r="C233" i="3" s="1"/>
  <c r="E232" i="3"/>
  <c r="I233" i="3" l="1"/>
  <c r="G233" i="3"/>
  <c r="A233" i="3"/>
  <c r="H233" i="3"/>
  <c r="C234" i="3" s="1"/>
  <c r="F233" i="3"/>
  <c r="E233" i="3"/>
  <c r="D233" i="3"/>
  <c r="B233" i="3"/>
  <c r="B234" i="3" l="1"/>
  <c r="F234" i="3"/>
  <c r="H234" i="3"/>
  <c r="C235" i="3" s="1"/>
  <c r="G234" i="3"/>
  <c r="A234" i="3"/>
  <c r="E234" i="3"/>
  <c r="D234" i="3"/>
  <c r="I234" i="3"/>
  <c r="H235" i="3" l="1"/>
  <c r="C236" i="3" s="1"/>
  <c r="I235" i="3"/>
  <c r="G235" i="3"/>
  <c r="B235" i="3"/>
  <c r="A235" i="3"/>
  <c r="E235" i="3"/>
  <c r="D235" i="3"/>
  <c r="F235" i="3"/>
  <c r="D236" i="3" l="1"/>
  <c r="B236" i="3"/>
  <c r="H236" i="3"/>
  <c r="C237" i="3" s="1"/>
  <c r="I236" i="3"/>
  <c r="E236" i="3"/>
  <c r="F236" i="3"/>
  <c r="A236" i="3"/>
  <c r="G236" i="3"/>
  <c r="D237" i="3" l="1"/>
  <c r="E237" i="3"/>
  <c r="H237" i="3"/>
  <c r="C238" i="3" s="1"/>
  <c r="G237" i="3"/>
  <c r="F237" i="3"/>
  <c r="I237" i="3"/>
  <c r="B237" i="3"/>
  <c r="A237" i="3"/>
  <c r="F238" i="3" l="1"/>
  <c r="D238" i="3"/>
  <c r="E238" i="3"/>
  <c r="I238" i="3"/>
  <c r="H238" i="3"/>
  <c r="C239" i="3" s="1"/>
  <c r="G238" i="3"/>
  <c r="A238" i="3"/>
  <c r="B238" i="3"/>
  <c r="A239" i="3" l="1"/>
  <c r="I239" i="3"/>
  <c r="H239" i="3"/>
  <c r="C240" i="3" s="1"/>
  <c r="G239" i="3"/>
  <c r="D239" i="3"/>
  <c r="B239" i="3"/>
  <c r="E239" i="3"/>
  <c r="F239" i="3"/>
  <c r="H240" i="3" l="1"/>
  <c r="C241" i="3" s="1"/>
  <c r="F240" i="3"/>
  <c r="D240" i="3"/>
  <c r="A240" i="3"/>
  <c r="I240" i="3"/>
  <c r="E240" i="3"/>
  <c r="B240" i="3"/>
  <c r="G240" i="3"/>
  <c r="B241" i="3" l="1"/>
  <c r="H241" i="3"/>
  <c r="C242" i="3" s="1"/>
  <c r="G241" i="3"/>
  <c r="D241" i="3"/>
  <c r="I241" i="3"/>
  <c r="F241" i="3"/>
  <c r="E241" i="3"/>
  <c r="A241" i="3"/>
  <c r="H242" i="3" l="1"/>
  <c r="C243" i="3" s="1"/>
  <c r="E242" i="3"/>
  <c r="D242" i="3"/>
  <c r="G242" i="3"/>
  <c r="F242" i="3"/>
  <c r="B242" i="3"/>
  <c r="A242" i="3"/>
  <c r="I242" i="3"/>
  <c r="A243" i="3" l="1"/>
  <c r="E243" i="3"/>
  <c r="H243" i="3"/>
  <c r="C244" i="3" s="1"/>
  <c r="F243" i="3"/>
  <c r="B243" i="3"/>
  <c r="D243" i="3"/>
  <c r="I243" i="3"/>
  <c r="G243" i="3"/>
  <c r="I244" i="3" l="1"/>
  <c r="G244" i="3"/>
  <c r="E244" i="3"/>
  <c r="F244" i="3"/>
  <c r="B244" i="3"/>
  <c r="A244" i="3"/>
  <c r="H244" i="3"/>
  <c r="C245" i="3" s="1"/>
  <c r="D244" i="3"/>
  <c r="A245" i="3" l="1"/>
  <c r="G245" i="3"/>
  <c r="B245" i="3"/>
  <c r="D245" i="3"/>
  <c r="I245" i="3"/>
  <c r="H245" i="3"/>
  <c r="C246" i="3" s="1"/>
  <c r="F245" i="3"/>
  <c r="E245" i="3"/>
  <c r="D246" i="3" l="1"/>
  <c r="F246" i="3"/>
  <c r="B246" i="3"/>
  <c r="H246" i="3"/>
  <c r="C247" i="3" s="1"/>
  <c r="A246" i="3"/>
  <c r="E246" i="3"/>
  <c r="G246" i="3"/>
  <c r="I246" i="3"/>
  <c r="E247" i="3" l="1"/>
  <c r="I247" i="3"/>
  <c r="H247" i="3"/>
  <c r="C248" i="3" s="1"/>
  <c r="G247" i="3"/>
  <c r="F247" i="3"/>
  <c r="A247" i="3"/>
  <c r="B247" i="3"/>
  <c r="D247" i="3"/>
  <c r="I248" i="3" l="1"/>
  <c r="F248" i="3"/>
  <c r="G248" i="3"/>
  <c r="A248" i="3"/>
  <c r="E248" i="3"/>
  <c r="H248" i="3"/>
  <c r="C249" i="3" s="1"/>
  <c r="B248" i="3"/>
  <c r="D248" i="3"/>
  <c r="G249" i="3" l="1"/>
  <c r="E249" i="3"/>
  <c r="F249" i="3"/>
  <c r="B249" i="3"/>
  <c r="H249" i="3"/>
  <c r="C250" i="3" s="1"/>
  <c r="D249" i="3"/>
  <c r="A249" i="3"/>
  <c r="I249" i="3"/>
  <c r="B250" i="3" l="1"/>
  <c r="E250" i="3"/>
  <c r="D250" i="3"/>
  <c r="F250" i="3"/>
  <c r="I250" i="3"/>
  <c r="H250" i="3"/>
  <c r="C251" i="3" s="1"/>
  <c r="G250" i="3"/>
  <c r="A250" i="3"/>
  <c r="I251" i="3" l="1"/>
  <c r="G251" i="3"/>
  <c r="E251" i="3"/>
  <c r="H251" i="3"/>
  <c r="C252" i="3" s="1"/>
  <c r="F251" i="3"/>
  <c r="D251" i="3"/>
  <c r="B251" i="3"/>
  <c r="A251" i="3"/>
  <c r="D252" i="3" l="1"/>
  <c r="I252" i="3"/>
  <c r="G252" i="3"/>
  <c r="A252" i="3"/>
  <c r="E252" i="3"/>
  <c r="H252" i="3"/>
  <c r="C253" i="3" s="1"/>
  <c r="F252" i="3"/>
  <c r="B252" i="3"/>
  <c r="I253" i="3" l="1"/>
  <c r="A253" i="3"/>
  <c r="F253" i="3"/>
  <c r="B253" i="3"/>
  <c r="G253" i="3"/>
  <c r="D253" i="3"/>
  <c r="H253" i="3"/>
  <c r="C254" i="3" s="1"/>
  <c r="E253" i="3"/>
  <c r="B254" i="3" l="1"/>
  <c r="F254" i="3"/>
  <c r="H254" i="3"/>
  <c r="C255" i="3" s="1"/>
  <c r="E254" i="3"/>
  <c r="I254" i="3"/>
  <c r="G254" i="3"/>
  <c r="D254" i="3"/>
  <c r="A254" i="3"/>
  <c r="F255" i="3" l="1"/>
  <c r="E255" i="3"/>
  <c r="H255" i="3"/>
  <c r="C256" i="3" s="1"/>
  <c r="D255" i="3"/>
  <c r="A255" i="3"/>
  <c r="I255" i="3"/>
  <c r="G255" i="3"/>
  <c r="B255" i="3"/>
  <c r="D256" i="3" l="1"/>
  <c r="B256" i="3"/>
  <c r="H256" i="3"/>
  <c r="C257" i="3" s="1"/>
  <c r="I256" i="3"/>
  <c r="F256" i="3"/>
  <c r="E256" i="3"/>
  <c r="A256" i="3"/>
  <c r="G256" i="3"/>
  <c r="B257" i="3" l="1"/>
  <c r="G257" i="3"/>
  <c r="E257" i="3"/>
  <c r="H257" i="3"/>
  <c r="C258" i="3" s="1"/>
  <c r="F257" i="3"/>
  <c r="D257" i="3"/>
  <c r="A257" i="3"/>
  <c r="I257" i="3"/>
  <c r="F258" i="3" l="1"/>
  <c r="D258" i="3"/>
  <c r="B258" i="3"/>
  <c r="A258" i="3"/>
  <c r="I258" i="3"/>
  <c r="E258" i="3"/>
  <c r="H258" i="3"/>
  <c r="C259" i="3" s="1"/>
  <c r="G258" i="3"/>
  <c r="A259" i="3" l="1"/>
  <c r="E259" i="3"/>
  <c r="I259" i="3"/>
  <c r="H259" i="3"/>
  <c r="C260" i="3" s="1"/>
  <c r="B259" i="3"/>
  <c r="G259" i="3"/>
  <c r="F259" i="3"/>
  <c r="D259" i="3"/>
  <c r="H260" i="3" l="1"/>
  <c r="C261" i="3" s="1"/>
  <c r="F260" i="3"/>
  <c r="I260" i="3"/>
  <c r="G260" i="3"/>
  <c r="E260" i="3"/>
  <c r="D260" i="3"/>
  <c r="B260" i="3"/>
  <c r="A260" i="3"/>
  <c r="I261" i="3" l="1"/>
  <c r="F261" i="3"/>
  <c r="G261" i="3"/>
  <c r="A261" i="3"/>
  <c r="D261" i="3"/>
  <c r="E261" i="3"/>
  <c r="H261" i="3"/>
  <c r="C262" i="3" s="1"/>
  <c r="B261" i="3"/>
  <c r="I262" i="3" l="1"/>
  <c r="H262" i="3"/>
  <c r="C263" i="3" s="1"/>
  <c r="A262" i="3"/>
  <c r="D262" i="3"/>
  <c r="B262" i="3"/>
  <c r="E262" i="3"/>
  <c r="G262" i="3"/>
  <c r="F262" i="3"/>
  <c r="A263" i="3" l="1"/>
  <c r="E263" i="3"/>
  <c r="G263" i="3"/>
  <c r="F263" i="3"/>
  <c r="D263" i="3"/>
  <c r="B263" i="3"/>
  <c r="I263" i="3"/>
  <c r="H263" i="3"/>
  <c r="C264" i="3" s="1"/>
  <c r="G264" i="3" l="1"/>
  <c r="F264" i="3"/>
  <c r="E264" i="3"/>
  <c r="A264" i="3"/>
  <c r="I264" i="3"/>
  <c r="H264" i="3"/>
  <c r="C265" i="3" s="1"/>
  <c r="D264" i="3"/>
  <c r="B264" i="3"/>
  <c r="B265" i="3" l="1"/>
  <c r="A265" i="3"/>
  <c r="G265" i="3"/>
  <c r="D265" i="3"/>
  <c r="E265" i="3"/>
  <c r="H265" i="3"/>
  <c r="C266" i="3" s="1"/>
  <c r="F265" i="3"/>
  <c r="I265" i="3"/>
  <c r="D266" i="3" l="1"/>
  <c r="I266" i="3"/>
  <c r="B266" i="3"/>
  <c r="G266" i="3"/>
  <c r="E266" i="3"/>
  <c r="F266" i="3"/>
  <c r="A266" i="3"/>
  <c r="H266" i="3"/>
  <c r="C267" i="3" s="1"/>
  <c r="E267" i="3" l="1"/>
  <c r="D267" i="3"/>
  <c r="I267" i="3"/>
  <c r="G267" i="3"/>
  <c r="H267" i="3"/>
  <c r="C268" i="3" s="1"/>
  <c r="A267" i="3"/>
  <c r="F267" i="3"/>
  <c r="B267" i="3"/>
  <c r="E268" i="3" l="1"/>
  <c r="F268" i="3"/>
  <c r="B268" i="3"/>
  <c r="A268" i="3"/>
  <c r="G268" i="3"/>
  <c r="D268" i="3"/>
  <c r="I268" i="3"/>
  <c r="H268" i="3"/>
  <c r="C269" i="3" s="1"/>
  <c r="G269" i="3" l="1"/>
  <c r="F269" i="3"/>
  <c r="E269" i="3"/>
  <c r="B269" i="3"/>
  <c r="A269" i="3"/>
  <c r="I269" i="3"/>
  <c r="H269" i="3"/>
  <c r="C270" i="3" s="1"/>
  <c r="D269" i="3"/>
  <c r="G270" i="3" l="1"/>
  <c r="B270" i="3"/>
  <c r="F270" i="3"/>
  <c r="A270" i="3"/>
  <c r="H270" i="3"/>
  <c r="C271" i="3" s="1"/>
  <c r="D270" i="3"/>
  <c r="I270" i="3"/>
  <c r="E270" i="3"/>
  <c r="I271" i="3" l="1"/>
  <c r="H271" i="3"/>
  <c r="C272" i="3" s="1"/>
  <c r="G271" i="3"/>
  <c r="D271" i="3"/>
  <c r="B271" i="3"/>
  <c r="A271" i="3"/>
  <c r="E271" i="3"/>
  <c r="F271" i="3"/>
  <c r="I272" i="3" l="1"/>
  <c r="D272" i="3"/>
  <c r="B272" i="3"/>
  <c r="A272" i="3"/>
  <c r="E272" i="3"/>
  <c r="F272" i="3"/>
  <c r="H272" i="3"/>
  <c r="C273" i="3" s="1"/>
  <c r="G272" i="3"/>
  <c r="I273" i="3" l="1"/>
  <c r="E273" i="3"/>
  <c r="B273" i="3"/>
  <c r="A273" i="3"/>
  <c r="D273" i="3"/>
  <c r="G273" i="3"/>
  <c r="F273" i="3"/>
  <c r="H273" i="3"/>
  <c r="C274" i="3" s="1"/>
  <c r="B274" i="3" l="1"/>
  <c r="A274" i="3"/>
  <c r="F274" i="3"/>
  <c r="I274" i="3"/>
  <c r="H274" i="3"/>
  <c r="C275" i="3" s="1"/>
  <c r="G274" i="3"/>
  <c r="D274" i="3"/>
  <c r="E274" i="3"/>
  <c r="B275" i="3" l="1"/>
  <c r="A275" i="3"/>
  <c r="F275" i="3"/>
  <c r="G275" i="3"/>
  <c r="E275" i="3"/>
  <c r="D275" i="3"/>
  <c r="I275" i="3"/>
  <c r="H275" i="3"/>
  <c r="C276" i="3" s="1"/>
  <c r="D276" i="3" l="1"/>
  <c r="B276" i="3"/>
  <c r="H276" i="3"/>
  <c r="C277" i="3" s="1"/>
  <c r="F276" i="3"/>
  <c r="A276" i="3"/>
  <c r="I276" i="3"/>
  <c r="E276" i="3"/>
  <c r="G276" i="3"/>
  <c r="D277" i="3" l="1"/>
  <c r="I277" i="3"/>
  <c r="B277" i="3"/>
  <c r="G277" i="3"/>
  <c r="F277" i="3"/>
  <c r="E277" i="3"/>
  <c r="H277" i="3"/>
  <c r="C278" i="3" s="1"/>
  <c r="A277" i="3"/>
  <c r="F278" i="3" l="1"/>
  <c r="E278" i="3"/>
  <c r="D278" i="3"/>
  <c r="A278" i="3"/>
  <c r="G278" i="3"/>
  <c r="B278" i="3"/>
  <c r="I278" i="3"/>
  <c r="H278" i="3"/>
  <c r="C279" i="3" s="1"/>
  <c r="F279" i="3" l="1"/>
  <c r="A279" i="3"/>
  <c r="E279" i="3"/>
  <c r="B279" i="3"/>
  <c r="H279" i="3"/>
  <c r="C280" i="3" s="1"/>
  <c r="G279" i="3"/>
  <c r="I279" i="3"/>
  <c r="D279" i="3"/>
  <c r="H280" i="3" l="1"/>
  <c r="C281" i="3" s="1"/>
  <c r="G280" i="3"/>
  <c r="F280" i="3"/>
  <c r="B280" i="3"/>
  <c r="D280" i="3"/>
  <c r="E280" i="3"/>
  <c r="A280" i="3"/>
  <c r="I280" i="3"/>
  <c r="H281" i="3" l="1"/>
  <c r="C282" i="3" s="1"/>
  <c r="B281" i="3"/>
  <c r="A281" i="3"/>
  <c r="I281" i="3"/>
  <c r="F281" i="3"/>
  <c r="D281" i="3"/>
  <c r="E281" i="3"/>
  <c r="G281" i="3"/>
  <c r="I282" i="3" l="1"/>
  <c r="H282" i="3"/>
  <c r="C283" i="3" s="1"/>
  <c r="D282" i="3"/>
  <c r="E282" i="3"/>
  <c r="A282" i="3"/>
  <c r="F282" i="3"/>
  <c r="B282" i="3"/>
  <c r="G282" i="3"/>
  <c r="A283" i="3" l="1"/>
  <c r="E283" i="3"/>
  <c r="I283" i="3"/>
  <c r="G283" i="3"/>
  <c r="F283" i="3"/>
  <c r="D283" i="3"/>
  <c r="B283" i="3"/>
  <c r="H283" i="3"/>
  <c r="C284" i="3" s="1"/>
  <c r="A284" i="3" l="1"/>
  <c r="B284" i="3"/>
  <c r="D284" i="3"/>
  <c r="I284" i="3"/>
  <c r="H284" i="3"/>
  <c r="C285" i="3" s="1"/>
  <c r="G284" i="3"/>
  <c r="F284" i="3"/>
  <c r="E284" i="3"/>
  <c r="B285" i="3" l="1"/>
  <c r="A285" i="3"/>
  <c r="G285" i="3"/>
  <c r="E285" i="3"/>
  <c r="F285" i="3"/>
  <c r="D285" i="3"/>
  <c r="H285" i="3"/>
  <c r="C286" i="3" s="1"/>
  <c r="I285" i="3"/>
  <c r="I286" i="3" l="1"/>
  <c r="H286" i="3"/>
  <c r="C287" i="3" s="1"/>
  <c r="A286" i="3"/>
  <c r="F286" i="3"/>
  <c r="G286" i="3"/>
  <c r="E286" i="3"/>
  <c r="D286" i="3"/>
  <c r="B286" i="3"/>
  <c r="E287" i="3" l="1"/>
  <c r="D287" i="3"/>
  <c r="I287" i="3"/>
  <c r="H287" i="3"/>
  <c r="C288" i="3" s="1"/>
  <c r="G287" i="3"/>
  <c r="B287" i="3"/>
  <c r="F287" i="3"/>
  <c r="A287" i="3"/>
  <c r="E288" i="3" l="1"/>
  <c r="D288" i="3"/>
  <c r="I288" i="3"/>
  <c r="H288" i="3"/>
  <c r="C289" i="3" s="1"/>
  <c r="G288" i="3"/>
  <c r="A288" i="3"/>
  <c r="F288" i="3"/>
  <c r="B288" i="3"/>
  <c r="G289" i="3" l="1"/>
  <c r="F289" i="3"/>
  <c r="E289" i="3"/>
  <c r="I289" i="3"/>
  <c r="D289" i="3"/>
  <c r="B289" i="3"/>
  <c r="A289" i="3"/>
  <c r="H289" i="3"/>
  <c r="C290" i="3" s="1"/>
  <c r="G290" i="3" l="1"/>
  <c r="B290" i="3"/>
  <c r="A290" i="3"/>
  <c r="H290" i="3"/>
  <c r="C291" i="3" s="1"/>
  <c r="F290" i="3"/>
  <c r="E290" i="3"/>
  <c r="I290" i="3"/>
  <c r="D290" i="3"/>
  <c r="I291" i="3" l="1"/>
  <c r="H291" i="3"/>
  <c r="C292" i="3" s="1"/>
  <c r="G291" i="3"/>
  <c r="F291" i="3"/>
  <c r="E291" i="3"/>
  <c r="D291" i="3"/>
  <c r="B291" i="3"/>
  <c r="A291" i="3"/>
  <c r="I292" i="3" l="1"/>
  <c r="D292" i="3"/>
  <c r="H292" i="3"/>
  <c r="C293" i="3" s="1"/>
  <c r="E292" i="3"/>
  <c r="F292" i="3"/>
  <c r="G292" i="3"/>
  <c r="A292" i="3"/>
  <c r="B292" i="3"/>
  <c r="I293" i="3" l="1"/>
  <c r="A293" i="3"/>
  <c r="B293" i="3"/>
  <c r="H293" i="3"/>
  <c r="C294" i="3" s="1"/>
  <c r="D293" i="3"/>
  <c r="G293" i="3"/>
  <c r="F293" i="3"/>
  <c r="E293" i="3"/>
  <c r="B294" i="3" l="1"/>
  <c r="A294" i="3"/>
  <c r="F294" i="3"/>
  <c r="D294" i="3"/>
  <c r="H294" i="3"/>
  <c r="C295" i="3" s="1"/>
  <c r="G294" i="3"/>
  <c r="I294" i="3"/>
  <c r="E294" i="3"/>
  <c r="B295" i="3" l="1"/>
  <c r="H295" i="3"/>
  <c r="C296" i="3" s="1"/>
  <c r="G295" i="3"/>
  <c r="I295" i="3"/>
  <c r="F295" i="3"/>
  <c r="E295" i="3"/>
  <c r="D295" i="3"/>
  <c r="A295" i="3"/>
  <c r="D296" i="3" l="1"/>
  <c r="B296" i="3"/>
  <c r="H296" i="3"/>
  <c r="C297" i="3" s="1"/>
  <c r="F296" i="3"/>
  <c r="I296" i="3"/>
  <c r="A296" i="3"/>
  <c r="E296" i="3"/>
  <c r="G296" i="3"/>
  <c r="D297" i="3" l="1"/>
  <c r="G297" i="3"/>
  <c r="E297" i="3"/>
  <c r="H297" i="3"/>
  <c r="C298" i="3" s="1"/>
  <c r="I297" i="3"/>
  <c r="F297" i="3"/>
  <c r="B297" i="3"/>
  <c r="A297" i="3"/>
  <c r="F298" i="3" l="1"/>
  <c r="E298" i="3"/>
  <c r="D298" i="3"/>
  <c r="I298" i="3"/>
  <c r="H298" i="3"/>
  <c r="C299" i="3" s="1"/>
  <c r="G298" i="3"/>
  <c r="B298" i="3"/>
  <c r="A298" i="3"/>
  <c r="F299" i="3" l="1"/>
  <c r="A299" i="3"/>
  <c r="I299" i="3"/>
  <c r="E299" i="3"/>
  <c r="D299" i="3"/>
  <c r="G299" i="3"/>
  <c r="B299" i="3"/>
  <c r="H299" i="3"/>
  <c r="C300" i="3" s="1"/>
  <c r="H300" i="3" l="1"/>
  <c r="C301" i="3" s="1"/>
  <c r="G300" i="3"/>
  <c r="F300" i="3"/>
  <c r="B300" i="3"/>
  <c r="I300" i="3"/>
  <c r="A300" i="3"/>
  <c r="D300" i="3"/>
  <c r="E300" i="3"/>
  <c r="H301" i="3" l="1"/>
  <c r="C302" i="3" s="1"/>
  <c r="I301" i="3"/>
  <c r="G301" i="3"/>
  <c r="B301" i="3"/>
  <c r="A301" i="3"/>
  <c r="E301" i="3"/>
  <c r="F301" i="3"/>
  <c r="D301" i="3"/>
  <c r="I302" i="3" l="1"/>
  <c r="H302" i="3"/>
  <c r="C303" i="3" s="1"/>
  <c r="G302" i="3"/>
  <c r="F302" i="3"/>
  <c r="D302" i="3"/>
  <c r="B302" i="3"/>
  <c r="E302" i="3"/>
  <c r="A302" i="3"/>
  <c r="A303" i="3" l="1"/>
  <c r="E303" i="3"/>
  <c r="F303" i="3"/>
  <c r="B303" i="3"/>
  <c r="G303" i="3"/>
  <c r="D303" i="3"/>
  <c r="I303" i="3"/>
  <c r="H303" i="3"/>
  <c r="C304" i="3" s="1"/>
  <c r="A304" i="3" l="1"/>
  <c r="G304" i="3"/>
  <c r="F304" i="3"/>
  <c r="H304" i="3"/>
  <c r="C305" i="3" s="1"/>
  <c r="B304" i="3"/>
  <c r="I304" i="3"/>
  <c r="E304" i="3"/>
  <c r="D304" i="3"/>
  <c r="B305" i="3" l="1"/>
  <c r="A305" i="3"/>
  <c r="G305" i="3"/>
  <c r="I305" i="3"/>
  <c r="H305" i="3"/>
  <c r="C306" i="3" s="1"/>
  <c r="F305" i="3"/>
  <c r="D305" i="3"/>
  <c r="E305" i="3"/>
  <c r="B306" i="3" l="1"/>
  <c r="H306" i="3"/>
  <c r="C307" i="3" s="1"/>
  <c r="E306" i="3"/>
  <c r="D306" i="3"/>
  <c r="G306" i="3"/>
  <c r="A306" i="3"/>
  <c r="F306" i="3"/>
  <c r="I306" i="3"/>
  <c r="E307" i="3" l="1"/>
  <c r="D307" i="3"/>
  <c r="I307" i="3"/>
  <c r="H307" i="3"/>
  <c r="C308" i="3" s="1"/>
  <c r="G307" i="3"/>
  <c r="A307" i="3"/>
  <c r="B307" i="3"/>
  <c r="F307" i="3"/>
  <c r="E308" i="3" l="1"/>
  <c r="H308" i="3"/>
  <c r="C309" i="3" s="1"/>
  <c r="D308" i="3"/>
  <c r="A308" i="3"/>
  <c r="B308" i="3"/>
  <c r="I308" i="3"/>
  <c r="G308" i="3"/>
  <c r="F308" i="3"/>
  <c r="G309" i="3" l="1"/>
  <c r="F309" i="3"/>
  <c r="E309" i="3"/>
  <c r="A309" i="3"/>
  <c r="I309" i="3"/>
  <c r="H309" i="3"/>
  <c r="C310" i="3" s="1"/>
  <c r="D309" i="3"/>
  <c r="B309" i="3"/>
  <c r="G310" i="3" l="1"/>
  <c r="B310" i="3"/>
  <c r="H310" i="3"/>
  <c r="C311" i="3" s="1"/>
  <c r="F310" i="3"/>
  <c r="D310" i="3"/>
  <c r="E310" i="3"/>
  <c r="A310" i="3"/>
  <c r="I310" i="3"/>
  <c r="I311" i="3" l="1"/>
  <c r="H311" i="3"/>
  <c r="C312" i="3" s="1"/>
  <c r="G311" i="3"/>
  <c r="B311" i="3"/>
  <c r="A311" i="3"/>
  <c r="D311" i="3"/>
  <c r="F311" i="3"/>
  <c r="E311" i="3"/>
  <c r="I312" i="3" l="1"/>
  <c r="D312" i="3"/>
  <c r="B312" i="3"/>
  <c r="H312" i="3"/>
  <c r="C313" i="3" s="1"/>
  <c r="E312" i="3"/>
  <c r="F312" i="3"/>
  <c r="G312" i="3"/>
  <c r="A312" i="3"/>
  <c r="I313" i="3" l="1"/>
  <c r="F313" i="3"/>
  <c r="E313" i="3"/>
  <c r="H313" i="3"/>
  <c r="C314" i="3" s="1"/>
  <c r="B313" i="3"/>
  <c r="A313" i="3"/>
  <c r="G313" i="3"/>
  <c r="D313" i="3"/>
  <c r="B314" i="3" l="1"/>
  <c r="A314" i="3"/>
  <c r="F314" i="3"/>
  <c r="E314" i="3"/>
  <c r="H314" i="3"/>
  <c r="C315" i="3" s="1"/>
  <c r="D314" i="3"/>
  <c r="I314" i="3"/>
  <c r="G314" i="3"/>
  <c r="B315" i="3" l="1"/>
  <c r="A315" i="3"/>
  <c r="I315" i="3"/>
  <c r="F315" i="3"/>
  <c r="D315" i="3"/>
  <c r="H315" i="3"/>
  <c r="C316" i="3" s="1"/>
  <c r="G315" i="3"/>
  <c r="E315" i="3"/>
  <c r="D316" i="3" l="1"/>
  <c r="B316" i="3"/>
  <c r="H316" i="3"/>
  <c r="C317" i="3" s="1"/>
  <c r="G316" i="3"/>
  <c r="F316" i="3"/>
  <c r="I316" i="3"/>
  <c r="A316" i="3"/>
  <c r="E316" i="3"/>
  <c r="D317" i="3" l="1"/>
  <c r="I317" i="3"/>
  <c r="E317" i="3"/>
  <c r="A317" i="3"/>
  <c r="H317" i="3"/>
  <c r="C318" i="3" s="1"/>
  <c r="G317" i="3"/>
  <c r="F317" i="3"/>
  <c r="B317" i="3"/>
  <c r="F318" i="3" l="1"/>
  <c r="E318" i="3"/>
  <c r="D318" i="3"/>
  <c r="A318" i="3"/>
  <c r="B318" i="3"/>
  <c r="H318" i="3"/>
  <c r="C319" i="3" s="1"/>
  <c r="G318" i="3"/>
  <c r="I318" i="3"/>
  <c r="F319" i="3" l="1"/>
  <c r="A319" i="3"/>
  <c r="G319" i="3"/>
  <c r="E319" i="3"/>
  <c r="H319" i="3"/>
  <c r="C320" i="3" s="1"/>
  <c r="I319" i="3"/>
  <c r="D319" i="3"/>
  <c r="B319" i="3"/>
  <c r="H320" i="3" l="1"/>
  <c r="C321" i="3" s="1"/>
  <c r="G320" i="3"/>
  <c r="F320" i="3"/>
  <c r="B320" i="3"/>
  <c r="D320" i="3"/>
  <c r="I320" i="3"/>
  <c r="E320" i="3"/>
  <c r="A320" i="3"/>
  <c r="H321" i="3" l="1"/>
  <c r="C322" i="3" s="1"/>
  <c r="A321" i="3"/>
  <c r="B321" i="3"/>
  <c r="F321" i="3"/>
  <c r="E321" i="3"/>
  <c r="I321" i="3"/>
  <c r="D321" i="3"/>
  <c r="G321" i="3"/>
  <c r="I322" i="3" l="1"/>
  <c r="H322" i="3"/>
  <c r="C323" i="3" s="1"/>
  <c r="E322" i="3"/>
  <c r="D322" i="3"/>
  <c r="B322" i="3"/>
  <c r="A322" i="3"/>
  <c r="F322" i="3"/>
  <c r="G322" i="3"/>
  <c r="A323" i="3" l="1"/>
  <c r="E323" i="3"/>
  <c r="I323" i="3"/>
  <c r="G323" i="3"/>
  <c r="H323" i="3"/>
  <c r="C324" i="3" s="1"/>
  <c r="D323" i="3"/>
  <c r="B323" i="3"/>
  <c r="F323" i="3"/>
  <c r="A324" i="3" l="1"/>
  <c r="F324" i="3"/>
  <c r="B324" i="3"/>
  <c r="I324" i="3"/>
  <c r="H324" i="3"/>
  <c r="C325" i="3" s="1"/>
  <c r="D324" i="3"/>
  <c r="G324" i="3"/>
  <c r="E324" i="3"/>
  <c r="B325" i="3" l="1"/>
  <c r="A325" i="3"/>
  <c r="G325" i="3"/>
  <c r="F325" i="3"/>
  <c r="E325" i="3"/>
  <c r="I325" i="3"/>
  <c r="H325" i="3"/>
  <c r="C326" i="3" s="1"/>
  <c r="D325" i="3"/>
  <c r="H326" i="3" l="1"/>
  <c r="C327" i="3" s="1"/>
  <c r="B326" i="3"/>
  <c r="I326" i="3"/>
  <c r="G326" i="3"/>
  <c r="F326" i="3"/>
  <c r="E326" i="3"/>
  <c r="D326" i="3"/>
  <c r="A326" i="3"/>
  <c r="E327" i="3" l="1"/>
  <c r="D327" i="3"/>
  <c r="I327" i="3"/>
  <c r="H327" i="3"/>
  <c r="C328" i="3" s="1"/>
  <c r="G327" i="3"/>
  <c r="F327" i="3"/>
  <c r="B327" i="3"/>
  <c r="A327" i="3"/>
  <c r="E328" i="3" l="1"/>
  <c r="F328" i="3"/>
  <c r="D328" i="3"/>
  <c r="H328" i="3"/>
  <c r="C329" i="3" s="1"/>
  <c r="B328" i="3"/>
  <c r="G328" i="3"/>
  <c r="A328" i="3"/>
  <c r="I328" i="3"/>
  <c r="G329" i="3" l="1"/>
  <c r="F329" i="3"/>
  <c r="E329" i="3"/>
  <c r="I329" i="3"/>
  <c r="A329" i="3"/>
  <c r="D329" i="3"/>
  <c r="H329" i="3"/>
  <c r="C330" i="3" s="1"/>
  <c r="B329" i="3"/>
  <c r="G330" i="3" l="1"/>
  <c r="B330" i="3"/>
  <c r="D330" i="3"/>
  <c r="F330" i="3"/>
  <c r="A330" i="3"/>
  <c r="E330" i="3"/>
  <c r="I330" i="3"/>
  <c r="H330" i="3"/>
  <c r="C331" i="3" s="1"/>
  <c r="I331" i="3" l="1"/>
  <c r="H331" i="3"/>
  <c r="C332" i="3" s="1"/>
  <c r="G331" i="3"/>
  <c r="D331" i="3"/>
  <c r="E331" i="3"/>
  <c r="B331" i="3"/>
  <c r="F331" i="3"/>
  <c r="A331" i="3"/>
  <c r="I332" i="3" l="1"/>
  <c r="D332" i="3"/>
  <c r="H332" i="3"/>
  <c r="C333" i="3" s="1"/>
  <c r="B332" i="3"/>
  <c r="G332" i="3"/>
  <c r="E332" i="3"/>
  <c r="A332" i="3"/>
  <c r="F332" i="3"/>
  <c r="I333" i="3" l="1"/>
  <c r="F333" i="3"/>
  <c r="E333" i="3"/>
  <c r="B333" i="3"/>
  <c r="G333" i="3"/>
  <c r="D333" i="3"/>
  <c r="A333" i="3"/>
  <c r="H333" i="3"/>
  <c r="C334" i="3" s="1"/>
  <c r="B334" i="3" l="1"/>
  <c r="A334" i="3"/>
  <c r="F334" i="3"/>
  <c r="E334" i="3"/>
  <c r="D334" i="3"/>
  <c r="H334" i="3"/>
  <c r="C335" i="3" s="1"/>
  <c r="I334" i="3"/>
  <c r="G334" i="3"/>
  <c r="B335" i="3" l="1"/>
  <c r="G335" i="3"/>
  <c r="A335" i="3"/>
  <c r="H335" i="3"/>
  <c r="C336" i="3" s="1"/>
  <c r="D335" i="3"/>
  <c r="I335" i="3"/>
  <c r="E335" i="3"/>
  <c r="F335" i="3"/>
  <c r="D336" i="3" l="1"/>
  <c r="B336" i="3"/>
  <c r="H336" i="3"/>
  <c r="C337" i="3" s="1"/>
  <c r="I336" i="3"/>
  <c r="A336" i="3"/>
  <c r="E336" i="3"/>
  <c r="F336" i="3"/>
  <c r="G336" i="3"/>
  <c r="D337" i="3" l="1"/>
  <c r="I337" i="3"/>
  <c r="E337" i="3"/>
  <c r="H337" i="3"/>
  <c r="C338" i="3" s="1"/>
  <c r="B337" i="3"/>
  <c r="G337" i="3"/>
  <c r="F337" i="3"/>
  <c r="A337" i="3"/>
  <c r="F338" i="3" l="1"/>
  <c r="E338" i="3"/>
  <c r="D338" i="3"/>
  <c r="H338" i="3"/>
  <c r="C339" i="3" s="1"/>
  <c r="I338" i="3"/>
  <c r="G338" i="3"/>
  <c r="A338" i="3"/>
  <c r="B338" i="3"/>
  <c r="F339" i="3" l="1"/>
  <c r="A339" i="3"/>
  <c r="E339" i="3"/>
  <c r="B339" i="3"/>
  <c r="H339" i="3"/>
  <c r="C340" i="3" s="1"/>
  <c r="G339" i="3"/>
  <c r="I339" i="3"/>
  <c r="D339" i="3"/>
  <c r="H340" i="3" l="1"/>
  <c r="C341" i="3" s="1"/>
  <c r="G340" i="3"/>
  <c r="F340" i="3"/>
  <c r="B340" i="3"/>
  <c r="I340" i="3"/>
  <c r="E340" i="3"/>
  <c r="D340" i="3"/>
  <c r="A340" i="3"/>
  <c r="H341" i="3" l="1"/>
  <c r="C342" i="3" s="1"/>
  <c r="G341" i="3"/>
  <c r="A341" i="3"/>
  <c r="F341" i="3"/>
  <c r="D341" i="3"/>
  <c r="E341" i="3"/>
  <c r="I341" i="3"/>
  <c r="B341" i="3"/>
  <c r="I342" i="3" l="1"/>
  <c r="H342" i="3"/>
  <c r="C343" i="3" s="1"/>
  <c r="E342" i="3"/>
  <c r="D342" i="3"/>
  <c r="B342" i="3"/>
  <c r="A342" i="3"/>
  <c r="G342" i="3"/>
  <c r="F342" i="3"/>
  <c r="A343" i="3" l="1"/>
  <c r="E343" i="3"/>
  <c r="I343" i="3"/>
  <c r="D343" i="3"/>
  <c r="B343" i="3"/>
  <c r="F343" i="3"/>
  <c r="G343" i="3"/>
  <c r="H343" i="3"/>
  <c r="C344" i="3" s="1"/>
  <c r="A344" i="3" l="1"/>
  <c r="F344" i="3"/>
  <c r="I344" i="3"/>
  <c r="H344" i="3"/>
  <c r="C345" i="3" s="1"/>
  <c r="D344" i="3"/>
  <c r="B344" i="3"/>
  <c r="G344" i="3"/>
  <c r="E344" i="3"/>
  <c r="B345" i="3" l="1"/>
  <c r="A345" i="3"/>
  <c r="G345" i="3"/>
  <c r="H345" i="3"/>
  <c r="C346" i="3" s="1"/>
  <c r="E345" i="3"/>
  <c r="I345" i="3"/>
  <c r="F345" i="3"/>
  <c r="D345" i="3"/>
  <c r="H346" i="3" l="1"/>
  <c r="C347" i="3" s="1"/>
  <c r="D346" i="3"/>
  <c r="B346" i="3"/>
  <c r="I346" i="3"/>
  <c r="E346" i="3"/>
  <c r="A346" i="3"/>
  <c r="G346" i="3"/>
  <c r="F346" i="3"/>
  <c r="E347" i="3" l="1"/>
  <c r="D347" i="3"/>
  <c r="I347" i="3"/>
  <c r="G347" i="3"/>
  <c r="H347" i="3"/>
  <c r="C348" i="3" s="1"/>
  <c r="A347" i="3"/>
  <c r="B347" i="3"/>
  <c r="F347" i="3"/>
  <c r="E348" i="3" l="1"/>
  <c r="A348" i="3"/>
  <c r="H348" i="3"/>
  <c r="C349" i="3" s="1"/>
  <c r="B348" i="3"/>
  <c r="I348" i="3"/>
  <c r="G348" i="3"/>
  <c r="F348" i="3"/>
  <c r="D348" i="3"/>
  <c r="G349" i="3" l="1"/>
  <c r="F349" i="3"/>
  <c r="E349" i="3"/>
  <c r="I349" i="3"/>
  <c r="B349" i="3"/>
  <c r="A349" i="3"/>
  <c r="H349" i="3"/>
  <c r="C350" i="3" s="1"/>
  <c r="D349" i="3"/>
  <c r="G350" i="3" l="1"/>
  <c r="B350" i="3"/>
  <c r="F350" i="3"/>
  <c r="H350" i="3"/>
  <c r="C351" i="3" s="1"/>
  <c r="A350" i="3"/>
  <c r="E350" i="3"/>
  <c r="I350" i="3"/>
  <c r="D350" i="3"/>
  <c r="I351" i="3" l="1"/>
  <c r="H351" i="3"/>
  <c r="C352" i="3" s="1"/>
  <c r="G351" i="3"/>
  <c r="F351" i="3"/>
  <c r="B351" i="3"/>
  <c r="D351" i="3"/>
  <c r="A351" i="3"/>
  <c r="E351" i="3"/>
  <c r="I352" i="3" l="1"/>
  <c r="D352" i="3"/>
  <c r="H352" i="3"/>
  <c r="C353" i="3" s="1"/>
  <c r="B352" i="3"/>
  <c r="G352" i="3"/>
  <c r="F352" i="3"/>
  <c r="E352" i="3"/>
  <c r="A352" i="3"/>
  <c r="I353" i="3" l="1"/>
  <c r="E353" i="3"/>
  <c r="G353" i="3"/>
  <c r="F353" i="3"/>
  <c r="B353" i="3"/>
  <c r="A353" i="3"/>
  <c r="H353" i="3"/>
  <c r="C354" i="3" s="1"/>
  <c r="D353" i="3"/>
  <c r="B354" i="3" l="1"/>
  <c r="A354" i="3"/>
  <c r="F354" i="3"/>
  <c r="D354" i="3"/>
  <c r="H354" i="3"/>
  <c r="C355" i="3" s="1"/>
  <c r="E354" i="3"/>
  <c r="I354" i="3"/>
  <c r="G354" i="3"/>
  <c r="B355" i="3" l="1"/>
  <c r="G355" i="3"/>
  <c r="A355" i="3"/>
  <c r="F355" i="3"/>
  <c r="E355" i="3"/>
  <c r="H355" i="3"/>
  <c r="C356" i="3" s="1"/>
  <c r="D355" i="3"/>
  <c r="I355" i="3"/>
  <c r="D356" i="3" l="1"/>
  <c r="B356" i="3"/>
  <c r="H356" i="3"/>
  <c r="C357" i="3" s="1"/>
  <c r="F356" i="3"/>
  <c r="A356" i="3"/>
  <c r="I356" i="3"/>
  <c r="E356" i="3"/>
  <c r="G356" i="3"/>
  <c r="D357" i="3" l="1"/>
  <c r="I357" i="3"/>
  <c r="H357" i="3"/>
  <c r="C358" i="3" s="1"/>
  <c r="E357" i="3"/>
  <c r="A357" i="3"/>
  <c r="F357" i="3"/>
  <c r="G357" i="3"/>
  <c r="B357" i="3"/>
  <c r="F358" i="3" l="1"/>
  <c r="E358" i="3"/>
  <c r="D358" i="3"/>
  <c r="H358" i="3"/>
  <c r="C359" i="3" s="1"/>
  <c r="A358" i="3"/>
  <c r="I358" i="3"/>
  <c r="G358" i="3"/>
  <c r="B358" i="3"/>
  <c r="F359" i="3" l="1"/>
  <c r="A359" i="3"/>
  <c r="E359" i="3"/>
  <c r="I359" i="3"/>
  <c r="H359" i="3"/>
  <c r="C360" i="3" s="1"/>
  <c r="B359" i="3"/>
  <c r="G359" i="3"/>
  <c r="D359" i="3"/>
  <c r="H360" i="3" l="1"/>
  <c r="C361" i="3" s="1"/>
  <c r="G360" i="3"/>
  <c r="F360" i="3"/>
  <c r="I360" i="3"/>
  <c r="E360" i="3"/>
  <c r="D360" i="3"/>
  <c r="B360" i="3"/>
  <c r="A360" i="3"/>
  <c r="H361" i="3" l="1"/>
  <c r="C362" i="3" s="1"/>
  <c r="G361" i="3"/>
  <c r="B361" i="3"/>
  <c r="A361" i="3"/>
  <c r="I361" i="3"/>
  <c r="D361" i="3"/>
  <c r="F361" i="3"/>
  <c r="E361" i="3"/>
  <c r="I362" i="3" l="1"/>
  <c r="H362" i="3"/>
  <c r="C363" i="3" s="1"/>
  <c r="D362" i="3"/>
  <c r="F362" i="3"/>
  <c r="E362" i="3"/>
  <c r="B362" i="3"/>
  <c r="G362" i="3"/>
  <c r="A362" i="3"/>
  <c r="A363" i="3" l="1"/>
  <c r="E363" i="3"/>
  <c r="I363" i="3"/>
  <c r="B363" i="3"/>
  <c r="F363" i="3"/>
  <c r="G363" i="3"/>
  <c r="H363" i="3"/>
  <c r="C364" i="3" s="1"/>
  <c r="D363" i="3"/>
  <c r="A364" i="3" l="1"/>
  <c r="F364" i="3"/>
  <c r="B364" i="3"/>
  <c r="H364" i="3"/>
  <c r="G364" i="3"/>
  <c r="E364" i="3"/>
  <c r="B16" i="2" s="1"/>
  <c r="B17" i="2" s="1"/>
  <c r="D364" i="3"/>
  <c r="I364" i="3"/>
  <c r="B18" i="2"/>
  <c r="B20" i="2" l="1"/>
  <c r="B19" i="2"/>
</calcChain>
</file>

<file path=xl/sharedStrings.xml><?xml version="1.0" encoding="utf-8"?>
<sst xmlns="http://schemas.openxmlformats.org/spreadsheetml/2006/main" count="215" uniqueCount="207">
  <si>
    <t>Loan &amp; EMI Tracker with Prepayment (Excel)</t>
  </si>
  <si>
    <t>Toolkit by GroupChatOn · free template · https://toolkit.groupchaton.com</t>
  </si>
  <si>
    <t>Type the loan amount, interest rate, tenure and first EMI date: the workbook works out the EMI and writes the full amortisation schedule, showing for every month how much of the EMI goes to interest and how much reduces the loan. Add a one-time prepayment or a small extra amount every month and see at once how many months it cuts and how much interest it saves. Mark each EMI as paid to always know the balance still owed.</t>
  </si>
  <si>
    <t>Colours</t>
  </si>
  <si>
    <t>Yellow cells: type or pick here.</t>
  </si>
  <si>
    <t>Grey and white cells: calculate by themselves. Don't type over them.</t>
  </si>
  <si>
    <t>Steps</t>
  </si>
  <si>
    <t>On the Loan sheet type the loan name, currency symbol, loan amount, interest rate per year, tenure in months and the date of the first EMI.</t>
  </si>
  <si>
    <t>Check the EMI against your loan sanction letter. A small difference of a few units is normal: banks round in their own way.</t>
  </si>
  <si>
    <t>To see the effect of paying extra, type an amount in "Extra payment every month" or a one-time prepayment and the EMI number in which you will pay it.</t>
  </si>
  <si>
    <t>Compare the results: interest saved, months saved and the new closing date.</t>
  </si>
  <si>
    <t>Each month, type the date the EMI was paid in the "Paid on" column of the Schedule sheet. "Balance still owed" on the Loan sheet follows the last paid row.</t>
  </si>
  <si>
    <t>List all your loans on the All loans sheet to see the total EMI and how much of your monthly income it uses.</t>
  </si>
  <si>
    <t>Tips</t>
  </si>
  <si>
    <t>•</t>
  </si>
  <si>
    <t>The schedule assumes a fixed rate and that a prepayment shortens the tenure while the EMI stays the same, which is how most lenders apply part-payments by default. If your lender reduces the EMI instead, the interest saved will be lower.</t>
  </si>
  <si>
    <t>Floating-rate loans change rate over time. When your lender revises the rate, start a new copy from the current outstanding balance and remaining months.</t>
  </si>
  <si>
    <t>Ask your lender about prepayment charges and whether there is a minimum part-payment amount before you plan one.</t>
  </si>
  <si>
    <t>Make one copy of the file per loan (File › Save As) and keep the All loans sheet in the copy you open most.</t>
  </si>
  <si>
    <t>This is a calculator and record, not advice on whether to prepay or invest; consider your emergency fund and talk to a qualified adviser if unsure.</t>
  </si>
  <si>
    <t>Full guide, questions and answers, and more free templates:</t>
  </si>
  <si>
    <t>https://toolkit.groupchaton.com/home-money/hm-loan-emi-excel/</t>
  </si>
  <si>
    <t>Designed &amp; Developed by: Nivesh Sahayak</t>
  </si>
  <si>
    <t>Free to use for your own work and your clients' work. Please don't sell or re-publish this file. The calculations are a help, not professional advice: check figures, tax rates and rules before you rely on them.</t>
  </si>
  <si>
    <t>Loan details</t>
  </si>
  <si>
    <t>Yellow cells: type your loan. Grey cells: results.</t>
  </si>
  <si>
    <t>Loan name</t>
  </si>
  <si>
    <t>Home loan</t>
  </si>
  <si>
    <t>Currency symbol</t>
  </si>
  <si>
    <t>₹</t>
  </si>
  <si>
    <t>Loan amount</t>
  </si>
  <si>
    <t>The amount borrowed (or the balance today, if you start mid-way).</t>
  </si>
  <si>
    <t>Interest rate per year</t>
  </si>
  <si>
    <t>For example 8.5%. Fixed rate assumed.</t>
  </si>
  <si>
    <t>Tenure (months)</t>
  </si>
  <si>
    <t>1 to 360 months (20 years = 240).</t>
  </si>
  <si>
    <t>First EMI date</t>
  </si>
  <si>
    <t>Later EMIs fall on the same day each month.</t>
  </si>
  <si>
    <t>Extra payment every month</t>
  </si>
  <si>
    <t>Optional: paid with every EMI to close the loan sooner.</t>
  </si>
  <si>
    <t>One-time prepayment amount</t>
  </si>
  <si>
    <t>Optional: a lump sum, such as a bonus.</t>
  </si>
  <si>
    <t>One-time prepayment in EMI number</t>
  </si>
  <si>
    <t>Paid together with this EMI number.</t>
  </si>
  <si>
    <t>Results</t>
  </si>
  <si>
    <t>EMI (monthly instalment)</t>
  </si>
  <si>
    <t>Reducing-balance method, as banks use.</t>
  </si>
  <si>
    <t>Total interest without prepayment</t>
  </si>
  <si>
    <t>EMI × months − loan amount.</t>
  </si>
  <si>
    <t>Total interest with your prepayments</t>
  </si>
  <si>
    <t>From the Schedule sheet.</t>
  </si>
  <si>
    <t>Interest saved</t>
  </si>
  <si>
    <t>Months to close the loan</t>
  </si>
  <si>
    <t>Months saved</t>
  </si>
  <si>
    <t>Loan closes on</t>
  </si>
  <si>
    <t>Date of the last EMI.</t>
  </si>
  <si>
    <t>EMIs marked paid</t>
  </si>
  <si>
    <t>Type the date in "Paid on" on the Schedule sheet.</t>
  </si>
  <si>
    <t>Balance still owed</t>
  </si>
  <si>
    <t>Closing balance after the last EMI marked paid.</t>
  </si>
  <si>
    <t>Assumes a fixed rate and that prepayments shorten the loan while the EMI stays the same. Your lender's statement is the final word; ask about prepayment charges first. A calculator and record only, not financial advice.</t>
  </si>
  <si>
    <t>Repayment schedule</t>
  </si>
  <si>
    <t>Amounts in the currency set on the Loan sheet. Type the date in the last column as each EMI is paid.</t>
  </si>
  <si>
    <t>#</t>
  </si>
  <si>
    <t>EMI date</t>
  </si>
  <si>
    <t>Opening balance</t>
  </si>
  <si>
    <t>EMI paid</t>
  </si>
  <si>
    <t>Interest</t>
  </si>
  <si>
    <t>Principal</t>
  </si>
  <si>
    <t>Prepayment</t>
  </si>
  <si>
    <t>Closing balance</t>
  </si>
  <si>
    <t>Interest so far</t>
  </si>
  <si>
    <t>Paid on (type the date)</t>
  </si>
  <si>
    <t>All loans in the family</t>
  </si>
  <si>
    <t>One row per loan. Type the outstanding amount from your latest statement.</t>
  </si>
  <si>
    <t>Monthly take-home income</t>
  </si>
  <si>
    <t>Total EMI per month</t>
  </si>
  <si>
    <t>Total outstanding</t>
  </si>
  <si>
    <t>EMIs as a share of take-home income</t>
  </si>
  <si>
    <t>Lenders look at this share when you apply for a new loan; a lower share leaves more room for savings and emergencies.</t>
  </si>
  <si>
    <t>Loan</t>
  </si>
  <si>
    <t>Lender</t>
  </si>
  <si>
    <t>Type</t>
  </si>
  <si>
    <t>Outstanding</t>
  </si>
  <si>
    <t>Rate</t>
  </si>
  <si>
    <t>EMI</t>
  </si>
  <si>
    <t>EMI day</t>
  </si>
  <si>
    <t>Ends on</t>
  </si>
  <si>
    <t>Account (last 4)</t>
  </si>
  <si>
    <t>Notes</t>
  </si>
  <si>
    <t>State Bank of India</t>
  </si>
  <si>
    <t>Home</t>
  </si>
  <si>
    <t>4417</t>
  </si>
  <si>
    <t>Floating rate, linked to repo rate</t>
  </si>
  <si>
    <t>Car loan</t>
  </si>
  <si>
    <t>HDFC Bank</t>
  </si>
  <si>
    <t>Vehicle</t>
  </si>
  <si>
    <t>0932</t>
  </si>
  <si>
    <t>Laptop on EMI</t>
  </si>
  <si>
    <t>Credit card (no-cost EMI)</t>
  </si>
  <si>
    <t>Credit card</t>
  </si>
  <si>
    <t>7781</t>
  </si>
  <si>
    <t>Check processing fee</t>
  </si>
  <si>
    <t>One</t>
  </si>
  <si>
    <t>Two</t>
  </si>
  <si>
    <t>Personal</t>
  </si>
  <si>
    <t>Three</t>
  </si>
  <si>
    <t>Education</t>
  </si>
  <si>
    <t>Four</t>
  </si>
  <si>
    <t>Gold</t>
  </si>
  <si>
    <t>Five</t>
  </si>
  <si>
    <t>Six</t>
  </si>
  <si>
    <t>Business</t>
  </si>
  <si>
    <t>Seven</t>
  </si>
  <si>
    <t>Other</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</si>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</sst>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E8F0FE"/>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0" fontId="9" fillId="0" borderId="0" xfId="0" applyFont="1"/>
    <xf numFmtId="3" fontId="0" fillId="2" borderId="1" xfId="0" applyNumberFormat="1" applyFill="1" applyBorder="1" applyAlignment="1" applyProtection="1">
      <alignment horizontal="right" vertical="center"/>
      <protection locked="0"/>
    </xf>
    <xf numFmtId="10" fontId="0" fillId="2" borderId="1" xfId="0" applyNumberFormat="1" applyFill="1" applyBorder="1" applyAlignment="1" applyProtection="1">
      <alignment horizontal="right" vertical="center"/>
      <protection locked="0"/>
    </xf>
    <xf numFmtId="14" fontId="0" fillId="2" borderId="1" xfId="0" applyNumberFormat="1" applyFill="1" applyBorder="1" applyAlignment="1" applyProtection="1">
      <alignment horizontal="left" vertical="center"/>
      <protection locked="0"/>
    </xf>
    <xf numFmtId="0" fontId="4" fillId="0" borderId="0" xfId="0" applyFont="1"/>
    <xf numFmtId="4" fontId="6" fillId="4" borderId="1" xfId="0" applyNumberFormat="1" applyFont="1" applyFill="1" applyBorder="1" applyAlignment="1">
      <alignment horizontal="right" vertical="center"/>
    </xf>
    <xf numFmtId="0" fontId="3" fillId="0" borderId="0" xfId="0" applyFont="1"/>
    <xf numFmtId="3" fontId="0" fillId="3" borderId="1" xfId="0" applyNumberFormat="1" applyFill="1" applyBorder="1" applyAlignment="1">
      <alignment horizontal="right" vertical="center"/>
    </xf>
    <xf numFmtId="3" fontId="6" fillId="4" borderId="1" xfId="0" applyNumberFormat="1" applyFont="1" applyFill="1" applyBorder="1" applyAlignment="1">
      <alignment horizontal="right" vertical="center"/>
    </xf>
    <xf numFmtId="0" fontId="0" fillId="3" borderId="1" xfId="0" applyFill="1" applyBorder="1" applyAlignment="1">
      <alignment horizontal="right" vertical="center"/>
    </xf>
    <xf numFmtId="14" fontId="0" fillId="3" borderId="1" xfId="0" applyNumberFormat="1" applyFill="1" applyBorder="1" applyAlignment="1">
      <alignment horizontal="right" vertical="center"/>
    </xf>
    <xf numFmtId="0" fontId="10" fillId="5"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xf numFmtId="4" fontId="0" fillId="3" borderId="1" xfId="0" applyNumberFormat="1" applyFill="1" applyBorder="1"/>
    <xf numFmtId="14" fontId="0" fillId="2" borderId="1" xfId="0" applyNumberFormat="1" applyFill="1" applyBorder="1" applyProtection="1">
      <protection locked="0"/>
    </xf>
    <xf numFmtId="9" fontId="6" fillId="4" borderId="1" xfId="0" applyNumberFormat="1" applyFont="1" applyFill="1" applyBorder="1" applyAlignment="1">
      <alignment horizontal="right" vertical="center"/>
    </xf>
    <xf numFmtId="0" fontId="0" fillId="2" borderId="1" xfId="0" applyFill="1" applyBorder="1" applyProtection="1">
      <protection locked="0"/>
    </xf>
    <xf numFmtId="3" fontId="0" fillId="2" borderId="1" xfId="0" applyNumberFormat="1" applyFill="1" applyBorder="1" applyProtection="1">
      <protection locked="0"/>
    </xf>
    <xf numFmtId="10" fontId="0" fillId="2" borderId="1" xfId="0" applyNumberFormat="1" applyFill="1" applyBorder="1" applyProtection="1">
      <protection locked="0"/>
    </xf>
    <xf numFmtId="0" fontId="9" fillId="0" borderId="0" xfId="0" applyFont="1" applyAlignment="1">
      <alignment vertical="center" wrapText="1"/>
    </xf>
    <xf numFmtId="0" fontId="0" fillId="0" borderId="0" xfId="0"/>
  </cellXfs>
  <cellStyles count="1">
    <cellStyle name="Normal" xfId="0" builtinId="0"/>
  </cellStyles>
  <dxfs count="2">
    <dxf>
      <font>
        <b/>
      </font>
      <fill>
        <patternFill patternType="solid">
          <fgColor rgb="FFFDE68A"/>
        </patternFill>
      </fill>
    </dxf>
    <dxf>
      <fill>
        <patternFill patternType="solid">
          <fgColor rgb="FFD1FA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loan-emi-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18"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45" customHeight="1" x14ac:dyDescent="0.3">
      <c r="A19" t="s">
        <v>14</v>
      </c>
      <c r="B19" s="3" t="s">
        <v>15</v>
      </c>
    </row>
    <row r="20" spans="1:2" ht="30" customHeight="1" x14ac:dyDescent="0.3">
      <c r="A20" t="s">
        <v>14</v>
      </c>
      <c r="B20" s="3" t="s">
        <v>16</v>
      </c>
    </row>
    <row r="21" spans="1:2" ht="30" customHeight="1" x14ac:dyDescent="0.3">
      <c r="A21" t="s">
        <v>14</v>
      </c>
      <c r="B21" s="3" t="s">
        <v>17</v>
      </c>
    </row>
    <row r="22" spans="1:2" ht="30" customHeight="1" x14ac:dyDescent="0.3">
      <c r="A22" t="s">
        <v>14</v>
      </c>
      <c r="B22" s="3" t="s">
        <v>18</v>
      </c>
    </row>
    <row r="23" spans="1:2" ht="30" customHeight="1" x14ac:dyDescent="0.3">
      <c r="A23" t="s">
        <v>14</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B2777"/>
    <pageSetUpPr fitToPage="1"/>
  </sheetPr>
  <dimension ref="A1:D26"/>
  <sheetViews>
    <sheetView showGridLines="0" workbookViewId="0"/>
  </sheetViews>
  <sheetFormatPr defaultRowHeight="14.4" x14ac:dyDescent="0.3"/>
  <cols>
    <col min="1" max="1" width="40" customWidth="1"/>
    <col min="2" max="2" width="20" customWidth="1"/>
    <col min="3" max="3" width="4" customWidth="1"/>
    <col min="4" max="4" width="60" customWidth="1"/>
  </cols>
  <sheetData>
    <row r="1" spans="1:4" ht="25.95" customHeight="1" x14ac:dyDescent="0.4">
      <c r="A1" s="1" t="s">
        <v>24</v>
      </c>
    </row>
    <row r="2" spans="1:4" x14ac:dyDescent="0.3">
      <c r="A2" s="2" t="s">
        <v>25</v>
      </c>
    </row>
    <row r="3" spans="1:4" x14ac:dyDescent="0.3">
      <c r="A3" s="12" t="s">
        <v>26</v>
      </c>
      <c r="B3" s="13" t="s">
        <v>27</v>
      </c>
      <c r="D3" s="14"/>
    </row>
    <row r="4" spans="1:4" x14ac:dyDescent="0.3">
      <c r="A4" s="12" t="s">
        <v>28</v>
      </c>
      <c r="B4" s="13" t="s">
        <v>29</v>
      </c>
      <c r="D4" s="14"/>
    </row>
    <row r="5" spans="1:4" x14ac:dyDescent="0.3">
      <c r="A5" s="12" t="s">
        <v>30</v>
      </c>
      <c r="B5" s="15">
        <v>3500000</v>
      </c>
      <c r="D5" s="14" t="s">
        <v>31</v>
      </c>
    </row>
    <row r="6" spans="1:4" x14ac:dyDescent="0.3">
      <c r="A6" s="12" t="s">
        <v>32</v>
      </c>
      <c r="B6" s="16">
        <v>8.5000000000000006E-2</v>
      </c>
      <c r="D6" s="14" t="s">
        <v>33</v>
      </c>
    </row>
    <row r="7" spans="1:4" x14ac:dyDescent="0.3">
      <c r="A7" s="12" t="s">
        <v>34</v>
      </c>
      <c r="B7" s="13">
        <v>240</v>
      </c>
      <c r="D7" s="14" t="s">
        <v>35</v>
      </c>
    </row>
    <row r="8" spans="1:4" x14ac:dyDescent="0.3">
      <c r="A8" s="12" t="s">
        <v>36</v>
      </c>
      <c r="B8" s="17">
        <v>45540</v>
      </c>
      <c r="D8" s="14" t="s">
        <v>37</v>
      </c>
    </row>
    <row r="9" spans="1:4" x14ac:dyDescent="0.3">
      <c r="A9" s="12" t="s">
        <v>38</v>
      </c>
      <c r="B9" s="15">
        <v>0</v>
      </c>
      <c r="D9" s="14" t="s">
        <v>39</v>
      </c>
    </row>
    <row r="10" spans="1:4" x14ac:dyDescent="0.3">
      <c r="A10" s="12" t="s">
        <v>40</v>
      </c>
      <c r="B10" s="15">
        <v>200000</v>
      </c>
      <c r="D10" s="14" t="s">
        <v>41</v>
      </c>
    </row>
    <row r="11" spans="1:4" x14ac:dyDescent="0.3">
      <c r="A11" s="12" t="s">
        <v>42</v>
      </c>
      <c r="B11" s="13">
        <v>36</v>
      </c>
      <c r="D11" s="14" t="s">
        <v>43</v>
      </c>
    </row>
    <row r="13" spans="1:4" ht="15.6" x14ac:dyDescent="0.3">
      <c r="A13" s="18" t="s">
        <v>44</v>
      </c>
    </row>
    <row r="14" spans="1:4" x14ac:dyDescent="0.3">
      <c r="A14" s="12" t="s">
        <v>45</v>
      </c>
      <c r="B14" s="19">
        <f>IF(OR(N(B5)&lt;=0,N(B7)&lt;=0),"",ROUND(PMT(B6/12,B7,-B5),2))</f>
        <v>30373.81</v>
      </c>
      <c r="D14" s="14" t="s">
        <v>46</v>
      </c>
    </row>
    <row r="15" spans="1:4" x14ac:dyDescent="0.3">
      <c r="A15" s="20" t="s">
        <v>47</v>
      </c>
      <c r="B15" s="21">
        <f>IF(B14="","",ROUND(B14*B7-B5,0))</f>
        <v>3789714</v>
      </c>
      <c r="D15" s="14" t="s">
        <v>48</v>
      </c>
    </row>
    <row r="16" spans="1:4" x14ac:dyDescent="0.3">
      <c r="A16" s="20" t="s">
        <v>49</v>
      </c>
      <c r="B16" s="21">
        <f>SUM(Schedule!E5:E364)</f>
        <v>3216519.2299999986</v>
      </c>
      <c r="D16" s="14" t="s">
        <v>50</v>
      </c>
    </row>
    <row r="17" spans="1:4" x14ac:dyDescent="0.3">
      <c r="A17" s="12" t="s">
        <v>51</v>
      </c>
      <c r="B17" s="22">
        <f>IF(B14="","",B15-B16)</f>
        <v>573194.77000000142</v>
      </c>
      <c r="D17" s="14"/>
    </row>
    <row r="18" spans="1:4" x14ac:dyDescent="0.3">
      <c r="A18" s="20" t="s">
        <v>52</v>
      </c>
      <c r="B18" s="23">
        <f>COUNT(Schedule!C5:C364)</f>
        <v>215</v>
      </c>
      <c r="D18" s="14"/>
    </row>
    <row r="19" spans="1:4" x14ac:dyDescent="0.3">
      <c r="A19" s="20" t="s">
        <v>53</v>
      </c>
      <c r="B19" s="23">
        <f>IF(B14="","",B7-B18)</f>
        <v>25</v>
      </c>
      <c r="D19" s="14"/>
    </row>
    <row r="20" spans="1:4" x14ac:dyDescent="0.3">
      <c r="A20" s="20" t="s">
        <v>54</v>
      </c>
      <c r="B20" s="24">
        <f>IF(B18=0,"",INDEX(Schedule!B5:B364,B18))</f>
        <v>52052</v>
      </c>
      <c r="D20" s="14" t="s">
        <v>55</v>
      </c>
    </row>
    <row r="21" spans="1:4" x14ac:dyDescent="0.3">
      <c r="A21" s="20" t="s">
        <v>56</v>
      </c>
      <c r="B21" s="23">
        <f>COUNT(Schedule!J5:J364)</f>
        <v>26</v>
      </c>
      <c r="D21" s="14" t="s">
        <v>57</v>
      </c>
    </row>
    <row r="22" spans="1:4" x14ac:dyDescent="0.3">
      <c r="A22" s="12" t="s">
        <v>58</v>
      </c>
      <c r="B22" s="22">
        <f>IF(B21=0,N(B5),INDEX(Schedule!H5:H364,B21))</f>
        <v>3341254.9</v>
      </c>
      <c r="D22" s="14" t="s">
        <v>59</v>
      </c>
    </row>
    <row r="24" spans="1:4" x14ac:dyDescent="0.3">
      <c r="A24" s="34" t="s">
        <v>60</v>
      </c>
      <c r="B24" s="35"/>
      <c r="C24" s="35"/>
      <c r="D24" s="35"/>
    </row>
    <row r="25" spans="1:4" x14ac:dyDescent="0.3">
      <c r="A25" s="35"/>
      <c r="B25" s="35"/>
      <c r="C25" s="35"/>
      <c r="D25" s="35"/>
    </row>
    <row r="26" spans="1:4" x14ac:dyDescent="0.3">
      <c r="A26" s="35"/>
      <c r="B26" s="35"/>
      <c r="C26" s="35"/>
      <c r="D26" s="35"/>
    </row>
  </sheetData>
  <sheetProtection sheet="1" formatCells="0" formatColumns="0" formatRows="0" sort="0" autoFilter="0"/>
  <mergeCells count="1">
    <mergeCell ref="A24:D26"/>
  </mergeCells>
  <dataValidations count="1">
    <dataValidation type="whole" showErrorMessage="1" errorTitle="Tenure" error="Type the number of months, from 1 to 360." sqref="B7" xr:uid="{00000000-0002-0000-0100-000000000000}">
      <formula1>1</formula1>
      <formula2>360</formula2>
    </dataValidation>
  </dataValidation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J36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6" customWidth="1"/>
    <col min="2" max="2" width="13" customWidth="1"/>
    <col min="3" max="3" width="16" customWidth="1"/>
    <col min="4" max="7" width="14" customWidth="1"/>
    <col min="8" max="9" width="16" customWidth="1"/>
    <col min="10" max="10" width="15" customWidth="1"/>
  </cols>
  <sheetData>
    <row r="1" spans="1:10" ht="25.95" customHeight="1" x14ac:dyDescent="0.4">
      <c r="A1" s="1" t="s">
        <v>61</v>
      </c>
    </row>
    <row r="2" spans="1:10" x14ac:dyDescent="0.3">
      <c r="A2" s="2" t="s">
        <v>62</v>
      </c>
    </row>
    <row r="4" spans="1:10" ht="31.95" customHeight="1" x14ac:dyDescent="0.3">
      <c r="A4" s="25" t="s">
        <v>63</v>
      </c>
      <c r="B4" s="25" t="s">
        <v>64</v>
      </c>
      <c r="C4" s="25" t="s">
        <v>65</v>
      </c>
      <c r="D4" s="25" t="s">
        <v>66</v>
      </c>
      <c r="E4" s="25" t="s">
        <v>67</v>
      </c>
      <c r="F4" s="25" t="s">
        <v>68</v>
      </c>
      <c r="G4" s="25" t="s">
        <v>69</v>
      </c>
      <c r="H4" s="25" t="s">
        <v>70</v>
      </c>
      <c r="I4" s="25" t="s">
        <v>71</v>
      </c>
      <c r="J4" s="25" t="s">
        <v>72</v>
      </c>
    </row>
    <row r="5" spans="1:10" x14ac:dyDescent="0.3">
      <c r="A5" s="26">
        <f>IF($C5="","",1)</f>
        <v>1</v>
      </c>
      <c r="B5" s="27">
        <f>IF($C5="","",EDATE(Loan!$B$8,1-1))</f>
        <v>45540</v>
      </c>
      <c r="C5" s="28">
        <f>IF(OR(N(Loan!$B$5)&lt;=0,Loan!$B$14=""),"",Loan!$B$5)</f>
        <v>3500000</v>
      </c>
      <c r="D5" s="28">
        <f t="shared" ref="D5:D68" si="0">IF($C5="","",$E5+$F5)</f>
        <v>30373.81</v>
      </c>
      <c r="E5" s="28">
        <f>IF($C5="","",ROUND($C5*Loan!$B$6/12,2))</f>
        <v>24791.67</v>
      </c>
      <c r="F5" s="28">
        <f>IF($C5="","",IF(1&gt;=Loan!$B$7,$C5,MIN($C5,MAX(0,Loan!$B$14-$E5))))</f>
        <v>5582.1400000000031</v>
      </c>
      <c r="G5" s="28">
        <f>IF($C5="","",MAX(0,MIN($C5-$F5,N(Loan!$B$9)+IF(1=N(Loan!$B$11),N(Loan!$B$10),0))))</f>
        <v>0</v>
      </c>
      <c r="H5" s="28">
        <f t="shared" ref="H5:H68" si="1">IF($C5="","",ROUND($C5-$F5-$G5,2))</f>
        <v>3494417.86</v>
      </c>
      <c r="I5" s="28">
        <f>IF($C5="","",SUM($E$5:$E5))</f>
        <v>24791.67</v>
      </c>
      <c r="J5" s="29">
        <v>45540</v>
      </c>
    </row>
    <row r="6" spans="1:10" x14ac:dyDescent="0.3">
      <c r="A6" s="26">
        <f>IF($C6="","",2)</f>
        <v>2</v>
      </c>
      <c r="B6" s="27">
        <f>IF($C6="","",EDATE(Loan!$B$8,2-1))</f>
        <v>45570</v>
      </c>
      <c r="C6" s="28">
        <f t="shared" ref="C6:C69" si="2">IF(H5="","",IF(H5&lt;0.005,"",H5))</f>
        <v>3494417.86</v>
      </c>
      <c r="D6" s="28">
        <f t="shared" si="0"/>
        <v>30373.81</v>
      </c>
      <c r="E6" s="28">
        <f>IF($C6="","",ROUND($C6*Loan!$B$6/12,2))</f>
        <v>24752.13</v>
      </c>
      <c r="F6" s="28">
        <f>IF($C6="","",IF(2&gt;=Loan!$B$7,$C6,MIN($C6,MAX(0,Loan!$B$14-$E6))))</f>
        <v>5621.68</v>
      </c>
      <c r="G6" s="28">
        <f>IF($C6="","",MAX(0,MIN($C6-$F6,N(Loan!$B$9)+IF(2=N(Loan!$B$11),N(Loan!$B$10),0))))</f>
        <v>0</v>
      </c>
      <c r="H6" s="28">
        <f t="shared" si="1"/>
        <v>3488796.18</v>
      </c>
      <c r="I6" s="28">
        <f>IF($C6="","",SUM($E$5:$E6))</f>
        <v>49543.8</v>
      </c>
      <c r="J6" s="29">
        <v>45570</v>
      </c>
    </row>
    <row r="7" spans="1:10" x14ac:dyDescent="0.3">
      <c r="A7" s="26">
        <f>IF($C7="","",3)</f>
        <v>3</v>
      </c>
      <c r="B7" s="27">
        <f>IF($C7="","",EDATE(Loan!$B$8,3-1))</f>
        <v>45601</v>
      </c>
      <c r="C7" s="28">
        <f t="shared" si="2"/>
        <v>3488796.18</v>
      </c>
      <c r="D7" s="28">
        <f t="shared" si="0"/>
        <v>30373.81</v>
      </c>
      <c r="E7" s="28">
        <f>IF($C7="","",ROUND($C7*Loan!$B$6/12,2))</f>
        <v>24712.31</v>
      </c>
      <c r="F7" s="28">
        <f>IF($C7="","",IF(3&gt;=Loan!$B$7,$C7,MIN($C7,MAX(0,Loan!$B$14-$E7))))</f>
        <v>5661.5</v>
      </c>
      <c r="G7" s="28">
        <f>IF($C7="","",MAX(0,MIN($C7-$F7,N(Loan!$B$9)+IF(3=N(Loan!$B$11),N(Loan!$B$10),0))))</f>
        <v>0</v>
      </c>
      <c r="H7" s="28">
        <f t="shared" si="1"/>
        <v>3483134.68</v>
      </c>
      <c r="I7" s="28">
        <f>IF($C7="","",SUM($E$5:$E7))</f>
        <v>74256.11</v>
      </c>
      <c r="J7" s="29">
        <v>45601</v>
      </c>
    </row>
    <row r="8" spans="1:10" x14ac:dyDescent="0.3">
      <c r="A8" s="26">
        <f>IF($C8="","",4)</f>
        <v>4</v>
      </c>
      <c r="B8" s="27">
        <f>IF($C8="","",EDATE(Loan!$B$8,4-1))</f>
        <v>45631</v>
      </c>
      <c r="C8" s="28">
        <f t="shared" si="2"/>
        <v>3483134.68</v>
      </c>
      <c r="D8" s="28">
        <f t="shared" si="0"/>
        <v>30373.81</v>
      </c>
      <c r="E8" s="28">
        <f>IF($C8="","",ROUND($C8*Loan!$B$6/12,2))</f>
        <v>24672.2</v>
      </c>
      <c r="F8" s="28">
        <f>IF($C8="","",IF(4&gt;=Loan!$B$7,$C8,MIN($C8,MAX(0,Loan!$B$14-$E8))))</f>
        <v>5701.6100000000006</v>
      </c>
      <c r="G8" s="28">
        <f>IF($C8="","",MAX(0,MIN($C8-$F8,N(Loan!$B$9)+IF(4=N(Loan!$B$11),N(Loan!$B$10),0))))</f>
        <v>0</v>
      </c>
      <c r="H8" s="28">
        <f t="shared" si="1"/>
        <v>3477433.07</v>
      </c>
      <c r="I8" s="28">
        <f>IF($C8="","",SUM($E$5:$E8))</f>
        <v>98928.31</v>
      </c>
      <c r="J8" s="29">
        <v>45631</v>
      </c>
    </row>
    <row r="9" spans="1:10" x14ac:dyDescent="0.3">
      <c r="A9" s="26">
        <f>IF($C9="","",5)</f>
        <v>5</v>
      </c>
      <c r="B9" s="27">
        <f>IF($C9="","",EDATE(Loan!$B$8,5-1))</f>
        <v>45662</v>
      </c>
      <c r="C9" s="28">
        <f t="shared" si="2"/>
        <v>3477433.07</v>
      </c>
      <c r="D9" s="28">
        <f t="shared" si="0"/>
        <v>30373.81</v>
      </c>
      <c r="E9" s="28">
        <f>IF($C9="","",ROUND($C9*Loan!$B$6/12,2))</f>
        <v>24631.82</v>
      </c>
      <c r="F9" s="28">
        <f>IF($C9="","",IF(5&gt;=Loan!$B$7,$C9,MIN($C9,MAX(0,Loan!$B$14-$E9))))</f>
        <v>5741.9900000000016</v>
      </c>
      <c r="G9" s="28">
        <f>IF($C9="","",MAX(0,MIN($C9-$F9,N(Loan!$B$9)+IF(5=N(Loan!$B$11),N(Loan!$B$10),0))))</f>
        <v>0</v>
      </c>
      <c r="H9" s="28">
        <f t="shared" si="1"/>
        <v>3471691.08</v>
      </c>
      <c r="I9" s="28">
        <f>IF($C9="","",SUM($E$5:$E9))</f>
        <v>123560.13</v>
      </c>
      <c r="J9" s="29">
        <v>45662</v>
      </c>
    </row>
    <row r="10" spans="1:10" x14ac:dyDescent="0.3">
      <c r="A10" s="26">
        <f>IF($C10="","",6)</f>
        <v>6</v>
      </c>
      <c r="B10" s="27">
        <f>IF($C10="","",EDATE(Loan!$B$8,6-1))</f>
        <v>45693</v>
      </c>
      <c r="C10" s="28">
        <f t="shared" si="2"/>
        <v>3471691.08</v>
      </c>
      <c r="D10" s="28">
        <f t="shared" si="0"/>
        <v>30373.81</v>
      </c>
      <c r="E10" s="28">
        <f>IF($C10="","",ROUND($C10*Loan!$B$6/12,2))</f>
        <v>24591.15</v>
      </c>
      <c r="F10" s="28">
        <f>IF($C10="","",IF(6&gt;=Loan!$B$7,$C10,MIN($C10,MAX(0,Loan!$B$14-$E10))))</f>
        <v>5782.66</v>
      </c>
      <c r="G10" s="28">
        <f>IF($C10="","",MAX(0,MIN($C10-$F10,N(Loan!$B$9)+IF(6=N(Loan!$B$11),N(Loan!$B$10),0))))</f>
        <v>0</v>
      </c>
      <c r="H10" s="28">
        <f t="shared" si="1"/>
        <v>3465908.42</v>
      </c>
      <c r="I10" s="28">
        <f>IF($C10="","",SUM($E$5:$E10))</f>
        <v>148151.28</v>
      </c>
      <c r="J10" s="29">
        <v>45693</v>
      </c>
    </row>
    <row r="11" spans="1:10" x14ac:dyDescent="0.3">
      <c r="A11" s="26">
        <f>IF($C11="","",7)</f>
        <v>7</v>
      </c>
      <c r="B11" s="27">
        <f>IF($C11="","",EDATE(Loan!$B$8,7-1))</f>
        <v>45721</v>
      </c>
      <c r="C11" s="28">
        <f t="shared" si="2"/>
        <v>3465908.42</v>
      </c>
      <c r="D11" s="28">
        <f t="shared" si="0"/>
        <v>30373.81</v>
      </c>
      <c r="E11" s="28">
        <f>IF($C11="","",ROUND($C11*Loan!$B$6/12,2))</f>
        <v>24550.18</v>
      </c>
      <c r="F11" s="28">
        <f>IF($C11="","",IF(7&gt;=Loan!$B$7,$C11,MIN($C11,MAX(0,Loan!$B$14-$E11))))</f>
        <v>5823.630000000001</v>
      </c>
      <c r="G11" s="28">
        <f>IF($C11="","",MAX(0,MIN($C11-$F11,N(Loan!$B$9)+IF(7=N(Loan!$B$11),N(Loan!$B$10),0))))</f>
        <v>0</v>
      </c>
      <c r="H11" s="28">
        <f t="shared" si="1"/>
        <v>3460084.79</v>
      </c>
      <c r="I11" s="28">
        <f>IF($C11="","",SUM($E$5:$E11))</f>
        <v>172701.46</v>
      </c>
      <c r="J11" s="29">
        <v>45721</v>
      </c>
    </row>
    <row r="12" spans="1:10" x14ac:dyDescent="0.3">
      <c r="A12" s="26">
        <f>IF($C12="","",8)</f>
        <v>8</v>
      </c>
      <c r="B12" s="27">
        <f>IF($C12="","",EDATE(Loan!$B$8,8-1))</f>
        <v>45752</v>
      </c>
      <c r="C12" s="28">
        <f t="shared" si="2"/>
        <v>3460084.79</v>
      </c>
      <c r="D12" s="28">
        <f t="shared" si="0"/>
        <v>30373.81</v>
      </c>
      <c r="E12" s="28">
        <f>IF($C12="","",ROUND($C12*Loan!$B$6/12,2))</f>
        <v>24508.93</v>
      </c>
      <c r="F12" s="28">
        <f>IF($C12="","",IF(8&gt;=Loan!$B$7,$C12,MIN($C12,MAX(0,Loan!$B$14-$E12))))</f>
        <v>5864.880000000001</v>
      </c>
      <c r="G12" s="28">
        <f>IF($C12="","",MAX(0,MIN($C12-$F12,N(Loan!$B$9)+IF(8=N(Loan!$B$11),N(Loan!$B$10),0))))</f>
        <v>0</v>
      </c>
      <c r="H12" s="28">
        <f t="shared" si="1"/>
        <v>3454219.91</v>
      </c>
      <c r="I12" s="28">
        <f>IF($C12="","",SUM($E$5:$E12))</f>
        <v>197210.38999999998</v>
      </c>
      <c r="J12" s="29">
        <v>45752</v>
      </c>
    </row>
    <row r="13" spans="1:10" x14ac:dyDescent="0.3">
      <c r="A13" s="26">
        <f>IF($C13="","",9)</f>
        <v>9</v>
      </c>
      <c r="B13" s="27">
        <f>IF($C13="","",EDATE(Loan!$B$8,9-1))</f>
        <v>45782</v>
      </c>
      <c r="C13" s="28">
        <f t="shared" si="2"/>
        <v>3454219.91</v>
      </c>
      <c r="D13" s="28">
        <f t="shared" si="0"/>
        <v>30373.81</v>
      </c>
      <c r="E13" s="28">
        <f>IF($C13="","",ROUND($C13*Loan!$B$6/12,2))</f>
        <v>24467.39</v>
      </c>
      <c r="F13" s="28">
        <f>IF($C13="","",IF(9&gt;=Loan!$B$7,$C13,MIN($C13,MAX(0,Loan!$B$14-$E13))))</f>
        <v>5906.4200000000019</v>
      </c>
      <c r="G13" s="28">
        <f>IF($C13="","",MAX(0,MIN($C13-$F13,N(Loan!$B$9)+IF(9=N(Loan!$B$11),N(Loan!$B$10),0))))</f>
        <v>0</v>
      </c>
      <c r="H13" s="28">
        <f t="shared" si="1"/>
        <v>3448313.49</v>
      </c>
      <c r="I13" s="28">
        <f>IF($C13="","",SUM($E$5:$E13))</f>
        <v>221677.77999999997</v>
      </c>
      <c r="J13" s="29">
        <v>45782</v>
      </c>
    </row>
    <row r="14" spans="1:10" x14ac:dyDescent="0.3">
      <c r="A14" s="26">
        <f>IF($C14="","",10)</f>
        <v>10</v>
      </c>
      <c r="B14" s="27">
        <f>IF($C14="","",EDATE(Loan!$B$8,10-1))</f>
        <v>45813</v>
      </c>
      <c r="C14" s="28">
        <f t="shared" si="2"/>
        <v>3448313.49</v>
      </c>
      <c r="D14" s="28">
        <f t="shared" si="0"/>
        <v>30373.81</v>
      </c>
      <c r="E14" s="28">
        <f>IF($C14="","",ROUND($C14*Loan!$B$6/12,2))</f>
        <v>24425.55</v>
      </c>
      <c r="F14" s="28">
        <f>IF($C14="","",IF(10&gt;=Loan!$B$7,$C14,MIN($C14,MAX(0,Loan!$B$14-$E14))))</f>
        <v>5948.260000000002</v>
      </c>
      <c r="G14" s="28">
        <f>IF($C14="","",MAX(0,MIN($C14-$F14,N(Loan!$B$9)+IF(10=N(Loan!$B$11),N(Loan!$B$10),0))))</f>
        <v>0</v>
      </c>
      <c r="H14" s="28">
        <f t="shared" si="1"/>
        <v>3442365.23</v>
      </c>
      <c r="I14" s="28">
        <f>IF($C14="","",SUM($E$5:$E14))</f>
        <v>246103.32999999996</v>
      </c>
      <c r="J14" s="29">
        <v>45813</v>
      </c>
    </row>
    <row r="15" spans="1:10" x14ac:dyDescent="0.3">
      <c r="A15" s="26">
        <f>IF($C15="","",11)</f>
        <v>11</v>
      </c>
      <c r="B15" s="27">
        <f>IF($C15="","",EDATE(Loan!$B$8,11-1))</f>
        <v>45843</v>
      </c>
      <c r="C15" s="28">
        <f t="shared" si="2"/>
        <v>3442365.23</v>
      </c>
      <c r="D15" s="28">
        <f t="shared" si="0"/>
        <v>30373.81</v>
      </c>
      <c r="E15" s="28">
        <f>IF($C15="","",ROUND($C15*Loan!$B$6/12,2))</f>
        <v>24383.42</v>
      </c>
      <c r="F15" s="28">
        <f>IF($C15="","",IF(11&gt;=Loan!$B$7,$C15,MIN($C15,MAX(0,Loan!$B$14-$E15))))</f>
        <v>5990.3900000000031</v>
      </c>
      <c r="G15" s="28">
        <f>IF($C15="","",MAX(0,MIN($C15-$F15,N(Loan!$B$9)+IF(11=N(Loan!$B$11),N(Loan!$B$10),0))))</f>
        <v>0</v>
      </c>
      <c r="H15" s="28">
        <f t="shared" si="1"/>
        <v>3436374.84</v>
      </c>
      <c r="I15" s="28">
        <f>IF($C15="","",SUM($E$5:$E15))</f>
        <v>270486.74999999994</v>
      </c>
      <c r="J15" s="29">
        <v>45843</v>
      </c>
    </row>
    <row r="16" spans="1:10" x14ac:dyDescent="0.3">
      <c r="A16" s="26">
        <f>IF($C16="","",12)</f>
        <v>12</v>
      </c>
      <c r="B16" s="27">
        <f>IF($C16="","",EDATE(Loan!$B$8,12-1))</f>
        <v>45874</v>
      </c>
      <c r="C16" s="28">
        <f t="shared" si="2"/>
        <v>3436374.84</v>
      </c>
      <c r="D16" s="28">
        <f t="shared" si="0"/>
        <v>30373.81</v>
      </c>
      <c r="E16" s="28">
        <f>IF($C16="","",ROUND($C16*Loan!$B$6/12,2))</f>
        <v>24340.99</v>
      </c>
      <c r="F16" s="28">
        <f>IF($C16="","",IF(12&gt;=Loan!$B$7,$C16,MIN($C16,MAX(0,Loan!$B$14-$E16))))</f>
        <v>6032.82</v>
      </c>
      <c r="G16" s="28">
        <f>IF($C16="","",MAX(0,MIN($C16-$F16,N(Loan!$B$9)+IF(12=N(Loan!$B$11),N(Loan!$B$10),0))))</f>
        <v>0</v>
      </c>
      <c r="H16" s="28">
        <f t="shared" si="1"/>
        <v>3430342.02</v>
      </c>
      <c r="I16" s="28">
        <f>IF($C16="","",SUM($E$5:$E16))</f>
        <v>294827.73999999993</v>
      </c>
      <c r="J16" s="29">
        <v>45874</v>
      </c>
    </row>
    <row r="17" spans="1:10" x14ac:dyDescent="0.3">
      <c r="A17" s="26">
        <f>IF($C17="","",13)</f>
        <v>13</v>
      </c>
      <c r="B17" s="27">
        <f>IF($C17="","",EDATE(Loan!$B$8,13-1))</f>
        <v>45905</v>
      </c>
      <c r="C17" s="28">
        <f t="shared" si="2"/>
        <v>3430342.02</v>
      </c>
      <c r="D17" s="28">
        <f t="shared" si="0"/>
        <v>30373.81</v>
      </c>
      <c r="E17" s="28">
        <f>IF($C17="","",ROUND($C17*Loan!$B$6/12,2))</f>
        <v>24298.26</v>
      </c>
      <c r="F17" s="28">
        <f>IF($C17="","",IF(13&gt;=Loan!$B$7,$C17,MIN($C17,MAX(0,Loan!$B$14-$E17))))</f>
        <v>6075.5500000000029</v>
      </c>
      <c r="G17" s="28">
        <f>IF($C17="","",MAX(0,MIN($C17-$F17,N(Loan!$B$9)+IF(13=N(Loan!$B$11),N(Loan!$B$10),0))))</f>
        <v>0</v>
      </c>
      <c r="H17" s="28">
        <f t="shared" si="1"/>
        <v>3424266.47</v>
      </c>
      <c r="I17" s="28">
        <f>IF($C17="","",SUM($E$5:$E17))</f>
        <v>319125.99999999994</v>
      </c>
      <c r="J17" s="29">
        <v>45905</v>
      </c>
    </row>
    <row r="18" spans="1:10" x14ac:dyDescent="0.3">
      <c r="A18" s="26">
        <f>IF($C18="","",14)</f>
        <v>14</v>
      </c>
      <c r="B18" s="27">
        <f>IF($C18="","",EDATE(Loan!$B$8,14-1))</f>
        <v>45935</v>
      </c>
      <c r="C18" s="28">
        <f t="shared" si="2"/>
        <v>3424266.47</v>
      </c>
      <c r="D18" s="28">
        <f t="shared" si="0"/>
        <v>30373.81</v>
      </c>
      <c r="E18" s="28">
        <f>IF($C18="","",ROUND($C18*Loan!$B$6/12,2))</f>
        <v>24255.22</v>
      </c>
      <c r="F18" s="28">
        <f>IF($C18="","",IF(14&gt;=Loan!$B$7,$C18,MIN($C18,MAX(0,Loan!$B$14-$E18))))</f>
        <v>6118.59</v>
      </c>
      <c r="G18" s="28">
        <f>IF($C18="","",MAX(0,MIN($C18-$F18,N(Loan!$B$9)+IF(14=N(Loan!$B$11),N(Loan!$B$10),0))))</f>
        <v>0</v>
      </c>
      <c r="H18" s="28">
        <f t="shared" si="1"/>
        <v>3418147.88</v>
      </c>
      <c r="I18" s="28">
        <f>IF($C18="","",SUM($E$5:$E18))</f>
        <v>343381.22</v>
      </c>
      <c r="J18" s="29">
        <v>45935</v>
      </c>
    </row>
    <row r="19" spans="1:10" x14ac:dyDescent="0.3">
      <c r="A19" s="26">
        <f>IF($C19="","",15)</f>
        <v>15</v>
      </c>
      <c r="B19" s="27">
        <f>IF($C19="","",EDATE(Loan!$B$8,15-1))</f>
        <v>45966</v>
      </c>
      <c r="C19" s="28">
        <f t="shared" si="2"/>
        <v>3418147.88</v>
      </c>
      <c r="D19" s="28">
        <f t="shared" si="0"/>
        <v>30373.81</v>
      </c>
      <c r="E19" s="28">
        <f>IF($C19="","",ROUND($C19*Loan!$B$6/12,2))</f>
        <v>24211.88</v>
      </c>
      <c r="F19" s="28">
        <f>IF($C19="","",IF(15&gt;=Loan!$B$7,$C19,MIN($C19,MAX(0,Loan!$B$14-$E19))))</f>
        <v>6161.93</v>
      </c>
      <c r="G19" s="28">
        <f>IF($C19="","",MAX(0,MIN($C19-$F19,N(Loan!$B$9)+IF(15=N(Loan!$B$11),N(Loan!$B$10),0))))</f>
        <v>0</v>
      </c>
      <c r="H19" s="28">
        <f t="shared" si="1"/>
        <v>3411985.95</v>
      </c>
      <c r="I19" s="28">
        <f>IF($C19="","",SUM($E$5:$E19))</f>
        <v>367593.1</v>
      </c>
      <c r="J19" s="29">
        <v>45966</v>
      </c>
    </row>
    <row r="20" spans="1:10" x14ac:dyDescent="0.3">
      <c r="A20" s="26">
        <f>IF($C20="","",16)</f>
        <v>16</v>
      </c>
      <c r="B20" s="27">
        <f>IF($C20="","",EDATE(Loan!$B$8,16-1))</f>
        <v>45996</v>
      </c>
      <c r="C20" s="28">
        <f t="shared" si="2"/>
        <v>3411985.95</v>
      </c>
      <c r="D20" s="28">
        <f t="shared" si="0"/>
        <v>30373.81</v>
      </c>
      <c r="E20" s="28">
        <f>IF($C20="","",ROUND($C20*Loan!$B$6/12,2))</f>
        <v>24168.23</v>
      </c>
      <c r="F20" s="28">
        <f>IF($C20="","",IF(16&gt;=Loan!$B$7,$C20,MIN($C20,MAX(0,Loan!$B$14-$E20))))</f>
        <v>6205.5800000000017</v>
      </c>
      <c r="G20" s="28">
        <f>IF($C20="","",MAX(0,MIN($C20-$F20,N(Loan!$B$9)+IF(16=N(Loan!$B$11),N(Loan!$B$10),0))))</f>
        <v>0</v>
      </c>
      <c r="H20" s="28">
        <f t="shared" si="1"/>
        <v>3405780.37</v>
      </c>
      <c r="I20" s="28">
        <f>IF($C20="","",SUM($E$5:$E20))</f>
        <v>391761.32999999996</v>
      </c>
      <c r="J20" s="29">
        <v>45996</v>
      </c>
    </row>
    <row r="21" spans="1:10" x14ac:dyDescent="0.3">
      <c r="A21" s="26">
        <f>IF($C21="","",17)</f>
        <v>17</v>
      </c>
      <c r="B21" s="27">
        <f>IF($C21="","",EDATE(Loan!$B$8,17-1))</f>
        <v>46027</v>
      </c>
      <c r="C21" s="28">
        <f t="shared" si="2"/>
        <v>3405780.37</v>
      </c>
      <c r="D21" s="28">
        <f t="shared" si="0"/>
        <v>30373.81</v>
      </c>
      <c r="E21" s="28">
        <f>IF($C21="","",ROUND($C21*Loan!$B$6/12,2))</f>
        <v>24124.28</v>
      </c>
      <c r="F21" s="28">
        <f>IF($C21="","",IF(17&gt;=Loan!$B$7,$C21,MIN($C21,MAX(0,Loan!$B$14-$E21))))</f>
        <v>6249.5300000000025</v>
      </c>
      <c r="G21" s="28">
        <f>IF($C21="","",MAX(0,MIN($C21-$F21,N(Loan!$B$9)+IF(17=N(Loan!$B$11),N(Loan!$B$10),0))))</f>
        <v>0</v>
      </c>
      <c r="H21" s="28">
        <f t="shared" si="1"/>
        <v>3399530.84</v>
      </c>
      <c r="I21" s="28">
        <f>IF($C21="","",SUM($E$5:$E21))</f>
        <v>415885.61</v>
      </c>
      <c r="J21" s="29">
        <v>46027</v>
      </c>
    </row>
    <row r="22" spans="1:10" x14ac:dyDescent="0.3">
      <c r="A22" s="26">
        <f>IF($C22="","",18)</f>
        <v>18</v>
      </c>
      <c r="B22" s="27">
        <f>IF($C22="","",EDATE(Loan!$B$8,18-1))</f>
        <v>46058</v>
      </c>
      <c r="C22" s="28">
        <f t="shared" si="2"/>
        <v>3399530.84</v>
      </c>
      <c r="D22" s="28">
        <f t="shared" si="0"/>
        <v>30373.81</v>
      </c>
      <c r="E22" s="28">
        <f>IF($C22="","",ROUND($C22*Loan!$B$6/12,2))</f>
        <v>24080.01</v>
      </c>
      <c r="F22" s="28">
        <f>IF($C22="","",IF(18&gt;=Loan!$B$7,$C22,MIN($C22,MAX(0,Loan!$B$14-$E22))))</f>
        <v>6293.8000000000029</v>
      </c>
      <c r="G22" s="28">
        <f>IF($C22="","",MAX(0,MIN($C22-$F22,N(Loan!$B$9)+IF(18=N(Loan!$B$11),N(Loan!$B$10),0))))</f>
        <v>0</v>
      </c>
      <c r="H22" s="28">
        <f t="shared" si="1"/>
        <v>3393237.04</v>
      </c>
      <c r="I22" s="28">
        <f>IF($C22="","",SUM($E$5:$E22))</f>
        <v>439965.62</v>
      </c>
      <c r="J22" s="29">
        <v>46058</v>
      </c>
    </row>
    <row r="23" spans="1:10" x14ac:dyDescent="0.3">
      <c r="A23" s="26">
        <f>IF($C23="","",19)</f>
        <v>19</v>
      </c>
      <c r="B23" s="27">
        <f>IF($C23="","",EDATE(Loan!$B$8,19-1))</f>
        <v>46086</v>
      </c>
      <c r="C23" s="28">
        <f t="shared" si="2"/>
        <v>3393237.04</v>
      </c>
      <c r="D23" s="28">
        <f t="shared" si="0"/>
        <v>30373.81</v>
      </c>
      <c r="E23" s="28">
        <f>IF($C23="","",ROUND($C23*Loan!$B$6/12,2))</f>
        <v>24035.43</v>
      </c>
      <c r="F23" s="28">
        <f>IF($C23="","",IF(19&gt;=Loan!$B$7,$C23,MIN($C23,MAX(0,Loan!$B$14-$E23))))</f>
        <v>6338.380000000001</v>
      </c>
      <c r="G23" s="28">
        <f>IF($C23="","",MAX(0,MIN($C23-$F23,N(Loan!$B$9)+IF(19=N(Loan!$B$11),N(Loan!$B$10),0))))</f>
        <v>0</v>
      </c>
      <c r="H23" s="28">
        <f t="shared" si="1"/>
        <v>3386898.66</v>
      </c>
      <c r="I23" s="28">
        <f>IF($C23="","",SUM($E$5:$E23))</f>
        <v>464001.05</v>
      </c>
      <c r="J23" s="29">
        <v>46086</v>
      </c>
    </row>
    <row r="24" spans="1:10" x14ac:dyDescent="0.3">
      <c r="A24" s="26">
        <f>IF($C24="","",20)</f>
        <v>20</v>
      </c>
      <c r="B24" s="27">
        <f>IF($C24="","",EDATE(Loan!$B$8,20-1))</f>
        <v>46117</v>
      </c>
      <c r="C24" s="28">
        <f t="shared" si="2"/>
        <v>3386898.66</v>
      </c>
      <c r="D24" s="28">
        <f t="shared" si="0"/>
        <v>30373.81</v>
      </c>
      <c r="E24" s="28">
        <f>IF($C24="","",ROUND($C24*Loan!$B$6/12,2))</f>
        <v>23990.53</v>
      </c>
      <c r="F24" s="28">
        <f>IF($C24="","",IF(20&gt;=Loan!$B$7,$C24,MIN($C24,MAX(0,Loan!$B$14-$E24))))</f>
        <v>6383.2800000000025</v>
      </c>
      <c r="G24" s="28">
        <f>IF($C24="","",MAX(0,MIN($C24-$F24,N(Loan!$B$9)+IF(20=N(Loan!$B$11),N(Loan!$B$10),0))))</f>
        <v>0</v>
      </c>
      <c r="H24" s="28">
        <f t="shared" si="1"/>
        <v>3380515.38</v>
      </c>
      <c r="I24" s="28">
        <f>IF($C24="","",SUM($E$5:$E24))</f>
        <v>487991.57999999996</v>
      </c>
      <c r="J24" s="29">
        <v>46117</v>
      </c>
    </row>
    <row r="25" spans="1:10" x14ac:dyDescent="0.3">
      <c r="A25" s="26">
        <f>IF($C25="","",21)</f>
        <v>21</v>
      </c>
      <c r="B25" s="27">
        <f>IF($C25="","",EDATE(Loan!$B$8,21-1))</f>
        <v>46147</v>
      </c>
      <c r="C25" s="28">
        <f t="shared" si="2"/>
        <v>3380515.38</v>
      </c>
      <c r="D25" s="28">
        <f t="shared" si="0"/>
        <v>30373.81</v>
      </c>
      <c r="E25" s="28">
        <f>IF($C25="","",ROUND($C25*Loan!$B$6/12,2))</f>
        <v>23945.32</v>
      </c>
      <c r="F25" s="28">
        <f>IF($C25="","",IF(21&gt;=Loan!$B$7,$C25,MIN($C25,MAX(0,Loan!$B$14-$E25))))</f>
        <v>6428.4900000000016</v>
      </c>
      <c r="G25" s="28">
        <f>IF($C25="","",MAX(0,MIN($C25-$F25,N(Loan!$B$9)+IF(21=N(Loan!$B$11),N(Loan!$B$10),0))))</f>
        <v>0</v>
      </c>
      <c r="H25" s="28">
        <f t="shared" si="1"/>
        <v>3374086.89</v>
      </c>
      <c r="I25" s="28">
        <f>IF($C25="","",SUM($E$5:$E25))</f>
        <v>511936.89999999997</v>
      </c>
      <c r="J25" s="29">
        <v>46147</v>
      </c>
    </row>
    <row r="26" spans="1:10" x14ac:dyDescent="0.3">
      <c r="A26" s="26">
        <f>IF($C26="","",22)</f>
        <v>22</v>
      </c>
      <c r="B26" s="27">
        <f>IF($C26="","",EDATE(Loan!$B$8,22-1))</f>
        <v>46178</v>
      </c>
      <c r="C26" s="28">
        <f t="shared" si="2"/>
        <v>3374086.89</v>
      </c>
      <c r="D26" s="28">
        <f t="shared" si="0"/>
        <v>30373.81</v>
      </c>
      <c r="E26" s="28">
        <f>IF($C26="","",ROUND($C26*Loan!$B$6/12,2))</f>
        <v>23899.78</v>
      </c>
      <c r="F26" s="28">
        <f>IF($C26="","",IF(22&gt;=Loan!$B$7,$C26,MIN($C26,MAX(0,Loan!$B$14-$E26))))</f>
        <v>6474.0300000000025</v>
      </c>
      <c r="G26" s="28">
        <f>IF($C26="","",MAX(0,MIN($C26-$F26,N(Loan!$B$9)+IF(22=N(Loan!$B$11),N(Loan!$B$10),0))))</f>
        <v>0</v>
      </c>
      <c r="H26" s="28">
        <f t="shared" si="1"/>
        <v>3367612.86</v>
      </c>
      <c r="I26" s="28">
        <f>IF($C26="","",SUM($E$5:$E26))</f>
        <v>535836.67999999993</v>
      </c>
      <c r="J26" s="29">
        <v>46178</v>
      </c>
    </row>
    <row r="27" spans="1:10" x14ac:dyDescent="0.3">
      <c r="A27" s="26">
        <f>IF($C27="","",23)</f>
        <v>23</v>
      </c>
      <c r="B27" s="27">
        <f>IF($C27="","",EDATE(Loan!$B$8,23-1))</f>
        <v>46208</v>
      </c>
      <c r="C27" s="28">
        <f t="shared" si="2"/>
        <v>3367612.86</v>
      </c>
      <c r="D27" s="28">
        <f t="shared" si="0"/>
        <v>30373.81</v>
      </c>
      <c r="E27" s="28">
        <f>IF($C27="","",ROUND($C27*Loan!$B$6/12,2))</f>
        <v>23853.919999999998</v>
      </c>
      <c r="F27" s="28">
        <f>IF($C27="","",IF(23&gt;=Loan!$B$7,$C27,MIN($C27,MAX(0,Loan!$B$14-$E27))))</f>
        <v>6519.8900000000031</v>
      </c>
      <c r="G27" s="28">
        <f>IF($C27="","",MAX(0,MIN($C27-$F27,N(Loan!$B$9)+IF(23=N(Loan!$B$11),N(Loan!$B$10),0))))</f>
        <v>0</v>
      </c>
      <c r="H27" s="28">
        <f t="shared" si="1"/>
        <v>3361092.97</v>
      </c>
      <c r="I27" s="28">
        <f>IF($C27="","",SUM($E$5:$E27))</f>
        <v>559690.6</v>
      </c>
      <c r="J27" s="29">
        <v>46208</v>
      </c>
    </row>
    <row r="28" spans="1:10" x14ac:dyDescent="0.3">
      <c r="A28" s="26">
        <f>IF($C28="","",24)</f>
        <v>24</v>
      </c>
      <c r="B28" s="27">
        <f>IF($C28="","",EDATE(Loan!$B$8,24-1))</f>
        <v>46239</v>
      </c>
      <c r="C28" s="28">
        <f t="shared" si="2"/>
        <v>3361092.97</v>
      </c>
      <c r="D28" s="28">
        <f t="shared" si="0"/>
        <v>30373.81</v>
      </c>
      <c r="E28" s="28">
        <f>IF($C28="","",ROUND($C28*Loan!$B$6/12,2))</f>
        <v>23807.74</v>
      </c>
      <c r="F28" s="28">
        <f>IF($C28="","",IF(24&gt;=Loan!$B$7,$C28,MIN($C28,MAX(0,Loan!$B$14-$E28))))</f>
        <v>6566.07</v>
      </c>
      <c r="G28" s="28">
        <f>IF($C28="","",MAX(0,MIN($C28-$F28,N(Loan!$B$9)+IF(24=N(Loan!$B$11),N(Loan!$B$10),0))))</f>
        <v>0</v>
      </c>
      <c r="H28" s="28">
        <f t="shared" si="1"/>
        <v>3354526.9</v>
      </c>
      <c r="I28" s="28">
        <f>IF($C28="","",SUM($E$5:$E28))</f>
        <v>583498.34</v>
      </c>
      <c r="J28" s="29">
        <v>46239</v>
      </c>
    </row>
    <row r="29" spans="1:10" x14ac:dyDescent="0.3">
      <c r="A29" s="26">
        <f>IF($C29="","",25)</f>
        <v>25</v>
      </c>
      <c r="B29" s="27">
        <f>IF($C29="","",EDATE(Loan!$B$8,25-1))</f>
        <v>46270</v>
      </c>
      <c r="C29" s="28">
        <f t="shared" si="2"/>
        <v>3354526.9</v>
      </c>
      <c r="D29" s="28">
        <f t="shared" si="0"/>
        <v>30373.81</v>
      </c>
      <c r="E29" s="28">
        <f>IF($C29="","",ROUND($C29*Loan!$B$6/12,2))</f>
        <v>23761.23</v>
      </c>
      <c r="F29" s="28">
        <f>IF($C29="","",IF(25&gt;=Loan!$B$7,$C29,MIN($C29,MAX(0,Loan!$B$14-$E29))))</f>
        <v>6612.5800000000017</v>
      </c>
      <c r="G29" s="28">
        <f>IF($C29="","",MAX(0,MIN($C29-$F29,N(Loan!$B$9)+IF(25=N(Loan!$B$11),N(Loan!$B$10),0))))</f>
        <v>0</v>
      </c>
      <c r="H29" s="28">
        <f t="shared" si="1"/>
        <v>3347914.32</v>
      </c>
      <c r="I29" s="28">
        <f>IF($C29="","",SUM($E$5:$E29))</f>
        <v>607259.56999999995</v>
      </c>
      <c r="J29" s="29">
        <v>46270</v>
      </c>
    </row>
    <row r="30" spans="1:10" x14ac:dyDescent="0.3">
      <c r="A30" s="26">
        <f>IF($C30="","",26)</f>
        <v>26</v>
      </c>
      <c r="B30" s="27">
        <f>IF($C30="","",EDATE(Loan!$B$8,26-1))</f>
        <v>46300</v>
      </c>
      <c r="C30" s="28">
        <f t="shared" si="2"/>
        <v>3347914.32</v>
      </c>
      <c r="D30" s="28">
        <f t="shared" si="0"/>
        <v>30373.81</v>
      </c>
      <c r="E30" s="28">
        <f>IF($C30="","",ROUND($C30*Loan!$B$6/12,2))</f>
        <v>23714.39</v>
      </c>
      <c r="F30" s="28">
        <f>IF($C30="","",IF(26&gt;=Loan!$B$7,$C30,MIN($C30,MAX(0,Loan!$B$14-$E30))))</f>
        <v>6659.4200000000019</v>
      </c>
      <c r="G30" s="28">
        <f>IF($C30="","",MAX(0,MIN($C30-$F30,N(Loan!$B$9)+IF(26=N(Loan!$B$11),N(Loan!$B$10),0))))</f>
        <v>0</v>
      </c>
      <c r="H30" s="28">
        <f t="shared" si="1"/>
        <v>3341254.9</v>
      </c>
      <c r="I30" s="28">
        <f>IF($C30="","",SUM($E$5:$E30))</f>
        <v>630973.96</v>
      </c>
      <c r="J30" s="29">
        <v>46300</v>
      </c>
    </row>
    <row r="31" spans="1:10" x14ac:dyDescent="0.3">
      <c r="A31" s="26">
        <f>IF($C31="","",27)</f>
        <v>27</v>
      </c>
      <c r="B31" s="27">
        <f>IF($C31="","",EDATE(Loan!$B$8,27-1))</f>
        <v>46331</v>
      </c>
      <c r="C31" s="28">
        <f t="shared" si="2"/>
        <v>3341254.9</v>
      </c>
      <c r="D31" s="28">
        <f t="shared" si="0"/>
        <v>30373.81</v>
      </c>
      <c r="E31" s="28">
        <f>IF($C31="","",ROUND($C31*Loan!$B$6/12,2))</f>
        <v>23667.22</v>
      </c>
      <c r="F31" s="28">
        <f>IF($C31="","",IF(27&gt;=Loan!$B$7,$C31,MIN($C31,MAX(0,Loan!$B$14-$E31))))</f>
        <v>6706.59</v>
      </c>
      <c r="G31" s="28">
        <f>IF($C31="","",MAX(0,MIN($C31-$F31,N(Loan!$B$9)+IF(27=N(Loan!$B$11),N(Loan!$B$10),0))))</f>
        <v>0</v>
      </c>
      <c r="H31" s="28">
        <f t="shared" si="1"/>
        <v>3334548.31</v>
      </c>
      <c r="I31" s="28">
        <f>IF($C31="","",SUM($E$5:$E31))</f>
        <v>654641.17999999993</v>
      </c>
      <c r="J31" s="29"/>
    </row>
    <row r="32" spans="1:10" x14ac:dyDescent="0.3">
      <c r="A32" s="26">
        <f>IF($C32="","",28)</f>
        <v>28</v>
      </c>
      <c r="B32" s="27">
        <f>IF($C32="","",EDATE(Loan!$B$8,28-1))</f>
        <v>46361</v>
      </c>
      <c r="C32" s="28">
        <f t="shared" si="2"/>
        <v>3334548.31</v>
      </c>
      <c r="D32" s="28">
        <f t="shared" si="0"/>
        <v>30373.81</v>
      </c>
      <c r="E32" s="28">
        <f>IF($C32="","",ROUND($C32*Loan!$B$6/12,2))</f>
        <v>23619.72</v>
      </c>
      <c r="F32" s="28">
        <f>IF($C32="","",IF(28&gt;=Loan!$B$7,$C32,MIN($C32,MAX(0,Loan!$B$14-$E32))))</f>
        <v>6754.09</v>
      </c>
      <c r="G32" s="28">
        <f>IF($C32="","",MAX(0,MIN($C32-$F32,N(Loan!$B$9)+IF(28=N(Loan!$B$11),N(Loan!$B$10),0))))</f>
        <v>0</v>
      </c>
      <c r="H32" s="28">
        <f t="shared" si="1"/>
        <v>3327794.22</v>
      </c>
      <c r="I32" s="28">
        <f>IF($C32="","",SUM($E$5:$E32))</f>
        <v>678260.89999999991</v>
      </c>
      <c r="J32" s="29"/>
    </row>
    <row r="33" spans="1:10" x14ac:dyDescent="0.3">
      <c r="A33" s="26">
        <f>IF($C33="","",29)</f>
        <v>29</v>
      </c>
      <c r="B33" s="27">
        <f>IF($C33="","",EDATE(Loan!$B$8,29-1))</f>
        <v>46392</v>
      </c>
      <c r="C33" s="28">
        <f t="shared" si="2"/>
        <v>3327794.22</v>
      </c>
      <c r="D33" s="28">
        <f t="shared" si="0"/>
        <v>30373.81</v>
      </c>
      <c r="E33" s="28">
        <f>IF($C33="","",ROUND($C33*Loan!$B$6/12,2))</f>
        <v>23571.88</v>
      </c>
      <c r="F33" s="28">
        <f>IF($C33="","",IF(29&gt;=Loan!$B$7,$C33,MIN($C33,MAX(0,Loan!$B$14-$E33))))</f>
        <v>6801.93</v>
      </c>
      <c r="G33" s="28">
        <f>IF($C33="","",MAX(0,MIN($C33-$F33,N(Loan!$B$9)+IF(29=N(Loan!$B$11),N(Loan!$B$10),0))))</f>
        <v>0</v>
      </c>
      <c r="H33" s="28">
        <f t="shared" si="1"/>
        <v>3320992.29</v>
      </c>
      <c r="I33" s="28">
        <f>IF($C33="","",SUM($E$5:$E33))</f>
        <v>701832.77999999991</v>
      </c>
      <c r="J33" s="29"/>
    </row>
    <row r="34" spans="1:10" x14ac:dyDescent="0.3">
      <c r="A34" s="26">
        <f>IF($C34="","",30)</f>
        <v>30</v>
      </c>
      <c r="B34" s="27">
        <f>IF($C34="","",EDATE(Loan!$B$8,30-1))</f>
        <v>46423</v>
      </c>
      <c r="C34" s="28">
        <f t="shared" si="2"/>
        <v>3320992.29</v>
      </c>
      <c r="D34" s="28">
        <f t="shared" si="0"/>
        <v>30373.81</v>
      </c>
      <c r="E34" s="28">
        <f>IF($C34="","",ROUND($C34*Loan!$B$6/12,2))</f>
        <v>23523.7</v>
      </c>
      <c r="F34" s="28">
        <f>IF($C34="","",IF(30&gt;=Loan!$B$7,$C34,MIN($C34,MAX(0,Loan!$B$14-$E34))))</f>
        <v>6850.1100000000006</v>
      </c>
      <c r="G34" s="28">
        <f>IF($C34="","",MAX(0,MIN($C34-$F34,N(Loan!$B$9)+IF(30=N(Loan!$B$11),N(Loan!$B$10),0))))</f>
        <v>0</v>
      </c>
      <c r="H34" s="28">
        <f t="shared" si="1"/>
        <v>3314142.18</v>
      </c>
      <c r="I34" s="28">
        <f>IF($C34="","",SUM($E$5:$E34))</f>
        <v>725356.47999999986</v>
      </c>
      <c r="J34" s="29"/>
    </row>
    <row r="35" spans="1:10" x14ac:dyDescent="0.3">
      <c r="A35" s="26">
        <f>IF($C35="","",31)</f>
        <v>31</v>
      </c>
      <c r="B35" s="27">
        <f>IF($C35="","",EDATE(Loan!$B$8,31-1))</f>
        <v>46451</v>
      </c>
      <c r="C35" s="28">
        <f t="shared" si="2"/>
        <v>3314142.18</v>
      </c>
      <c r="D35" s="28">
        <f t="shared" si="0"/>
        <v>30373.81</v>
      </c>
      <c r="E35" s="28">
        <f>IF($C35="","",ROUND($C35*Loan!$B$6/12,2))</f>
        <v>23475.17</v>
      </c>
      <c r="F35" s="28">
        <f>IF($C35="","",IF(31&gt;=Loan!$B$7,$C35,MIN($C35,MAX(0,Loan!$B$14-$E35))))</f>
        <v>6898.6400000000031</v>
      </c>
      <c r="G35" s="28">
        <f>IF($C35="","",MAX(0,MIN($C35-$F35,N(Loan!$B$9)+IF(31=N(Loan!$B$11),N(Loan!$B$10),0))))</f>
        <v>0</v>
      </c>
      <c r="H35" s="28">
        <f t="shared" si="1"/>
        <v>3307243.54</v>
      </c>
      <c r="I35" s="28">
        <f>IF($C35="","",SUM($E$5:$E35))</f>
        <v>748831.64999999991</v>
      </c>
      <c r="J35" s="29"/>
    </row>
    <row r="36" spans="1:10" x14ac:dyDescent="0.3">
      <c r="A36" s="26">
        <f>IF($C36="","",32)</f>
        <v>32</v>
      </c>
      <c r="B36" s="27">
        <f>IF($C36="","",EDATE(Loan!$B$8,32-1))</f>
        <v>46482</v>
      </c>
      <c r="C36" s="28">
        <f t="shared" si="2"/>
        <v>3307243.54</v>
      </c>
      <c r="D36" s="28">
        <f t="shared" si="0"/>
        <v>30373.81</v>
      </c>
      <c r="E36" s="28">
        <f>IF($C36="","",ROUND($C36*Loan!$B$6/12,2))</f>
        <v>23426.31</v>
      </c>
      <c r="F36" s="28">
        <f>IF($C36="","",IF(32&gt;=Loan!$B$7,$C36,MIN($C36,MAX(0,Loan!$B$14-$E36))))</f>
        <v>6947.5</v>
      </c>
      <c r="G36" s="28">
        <f>IF($C36="","",MAX(0,MIN($C36-$F36,N(Loan!$B$9)+IF(32=N(Loan!$B$11),N(Loan!$B$10),0))))</f>
        <v>0</v>
      </c>
      <c r="H36" s="28">
        <f t="shared" si="1"/>
        <v>3300296.04</v>
      </c>
      <c r="I36" s="28">
        <f>IF($C36="","",SUM($E$5:$E36))</f>
        <v>772257.96</v>
      </c>
      <c r="J36" s="29"/>
    </row>
    <row r="37" spans="1:10" x14ac:dyDescent="0.3">
      <c r="A37" s="26">
        <f>IF($C37="","",33)</f>
        <v>33</v>
      </c>
      <c r="B37" s="27">
        <f>IF($C37="","",EDATE(Loan!$B$8,33-1))</f>
        <v>46512</v>
      </c>
      <c r="C37" s="28">
        <f t="shared" si="2"/>
        <v>3300296.04</v>
      </c>
      <c r="D37" s="28">
        <f t="shared" si="0"/>
        <v>30373.81</v>
      </c>
      <c r="E37" s="28">
        <f>IF($C37="","",ROUND($C37*Loan!$B$6/12,2))</f>
        <v>23377.1</v>
      </c>
      <c r="F37" s="28">
        <f>IF($C37="","",IF(33&gt;=Loan!$B$7,$C37,MIN($C37,MAX(0,Loan!$B$14-$E37))))</f>
        <v>6996.7100000000028</v>
      </c>
      <c r="G37" s="28">
        <f>IF($C37="","",MAX(0,MIN($C37-$F37,N(Loan!$B$9)+IF(33=N(Loan!$B$11),N(Loan!$B$10),0))))</f>
        <v>0</v>
      </c>
      <c r="H37" s="28">
        <f t="shared" si="1"/>
        <v>3293299.33</v>
      </c>
      <c r="I37" s="28">
        <f>IF($C37="","",SUM($E$5:$E37))</f>
        <v>795635.05999999994</v>
      </c>
      <c r="J37" s="29"/>
    </row>
    <row r="38" spans="1:10" x14ac:dyDescent="0.3">
      <c r="A38" s="26">
        <f>IF($C38="","",34)</f>
        <v>34</v>
      </c>
      <c r="B38" s="27">
        <f>IF($C38="","",EDATE(Loan!$B$8,34-1))</f>
        <v>46543</v>
      </c>
      <c r="C38" s="28">
        <f t="shared" si="2"/>
        <v>3293299.33</v>
      </c>
      <c r="D38" s="28">
        <f t="shared" si="0"/>
        <v>30373.81</v>
      </c>
      <c r="E38" s="28">
        <f>IF($C38="","",ROUND($C38*Loan!$B$6/12,2))</f>
        <v>23327.54</v>
      </c>
      <c r="F38" s="28">
        <f>IF($C38="","",IF(34&gt;=Loan!$B$7,$C38,MIN($C38,MAX(0,Loan!$B$14-$E38))))</f>
        <v>7046.27</v>
      </c>
      <c r="G38" s="28">
        <f>IF($C38="","",MAX(0,MIN($C38-$F38,N(Loan!$B$9)+IF(34=N(Loan!$B$11),N(Loan!$B$10),0))))</f>
        <v>0</v>
      </c>
      <c r="H38" s="28">
        <f t="shared" si="1"/>
        <v>3286253.06</v>
      </c>
      <c r="I38" s="28">
        <f>IF($C38="","",SUM($E$5:$E38))</f>
        <v>818962.6</v>
      </c>
      <c r="J38" s="29"/>
    </row>
    <row r="39" spans="1:10" x14ac:dyDescent="0.3">
      <c r="A39" s="26">
        <f>IF($C39="","",35)</f>
        <v>35</v>
      </c>
      <c r="B39" s="27">
        <f>IF($C39="","",EDATE(Loan!$B$8,35-1))</f>
        <v>46573</v>
      </c>
      <c r="C39" s="28">
        <f t="shared" si="2"/>
        <v>3286253.06</v>
      </c>
      <c r="D39" s="28">
        <f t="shared" si="0"/>
        <v>30373.81</v>
      </c>
      <c r="E39" s="28">
        <f>IF($C39="","",ROUND($C39*Loan!$B$6/12,2))</f>
        <v>23277.63</v>
      </c>
      <c r="F39" s="28">
        <f>IF($C39="","",IF(35&gt;=Loan!$B$7,$C39,MIN($C39,MAX(0,Loan!$B$14-$E39))))</f>
        <v>7096.18</v>
      </c>
      <c r="G39" s="28">
        <f>IF($C39="","",MAX(0,MIN($C39-$F39,N(Loan!$B$9)+IF(35=N(Loan!$B$11),N(Loan!$B$10),0))))</f>
        <v>0</v>
      </c>
      <c r="H39" s="28">
        <f t="shared" si="1"/>
        <v>3279156.88</v>
      </c>
      <c r="I39" s="28">
        <f>IF($C39="","",SUM($E$5:$E39))</f>
        <v>842240.23</v>
      </c>
      <c r="J39" s="29"/>
    </row>
    <row r="40" spans="1:10" x14ac:dyDescent="0.3">
      <c r="A40" s="26">
        <f>IF($C40="","",36)</f>
        <v>36</v>
      </c>
      <c r="B40" s="27">
        <f>IF($C40="","",EDATE(Loan!$B$8,36-1))</f>
        <v>46604</v>
      </c>
      <c r="C40" s="28">
        <f t="shared" si="2"/>
        <v>3279156.88</v>
      </c>
      <c r="D40" s="28">
        <f t="shared" si="0"/>
        <v>30373.81</v>
      </c>
      <c r="E40" s="28">
        <f>IF($C40="","",ROUND($C40*Loan!$B$6/12,2))</f>
        <v>23227.360000000001</v>
      </c>
      <c r="F40" s="28">
        <f>IF($C40="","",IF(36&gt;=Loan!$B$7,$C40,MIN($C40,MAX(0,Loan!$B$14-$E40))))</f>
        <v>7146.4500000000007</v>
      </c>
      <c r="G40" s="28">
        <f>IF($C40="","",MAX(0,MIN($C40-$F40,N(Loan!$B$9)+IF(36=N(Loan!$B$11),N(Loan!$B$10),0))))</f>
        <v>200000</v>
      </c>
      <c r="H40" s="28">
        <f t="shared" si="1"/>
        <v>3072010.43</v>
      </c>
      <c r="I40" s="28">
        <f>IF($C40="","",SUM($E$5:$E40))</f>
        <v>865467.59</v>
      </c>
      <c r="J40" s="29"/>
    </row>
    <row r="41" spans="1:10" x14ac:dyDescent="0.3">
      <c r="A41" s="26">
        <f>IF($C41="","",37)</f>
        <v>37</v>
      </c>
      <c r="B41" s="27">
        <f>IF($C41="","",EDATE(Loan!$B$8,37-1))</f>
        <v>46635</v>
      </c>
      <c r="C41" s="28">
        <f t="shared" si="2"/>
        <v>3072010.43</v>
      </c>
      <c r="D41" s="28">
        <f t="shared" si="0"/>
        <v>30373.81</v>
      </c>
      <c r="E41" s="28">
        <f>IF($C41="","",ROUND($C41*Loan!$B$6/12,2))</f>
        <v>21760.07</v>
      </c>
      <c r="F41" s="28">
        <f>IF($C41="","",IF(37&gt;=Loan!$B$7,$C41,MIN($C41,MAX(0,Loan!$B$14-$E41))))</f>
        <v>8613.7400000000016</v>
      </c>
      <c r="G41" s="28">
        <f>IF($C41="","",MAX(0,MIN($C41-$F41,N(Loan!$B$9)+IF(37=N(Loan!$B$11),N(Loan!$B$10),0))))</f>
        <v>0</v>
      </c>
      <c r="H41" s="28">
        <f t="shared" si="1"/>
        <v>3063396.69</v>
      </c>
      <c r="I41" s="28">
        <f>IF($C41="","",SUM($E$5:$E41))</f>
        <v>887227.65999999992</v>
      </c>
      <c r="J41" s="29"/>
    </row>
    <row r="42" spans="1:10" x14ac:dyDescent="0.3">
      <c r="A42" s="26">
        <f>IF($C42="","",38)</f>
        <v>38</v>
      </c>
      <c r="B42" s="27">
        <f>IF($C42="","",EDATE(Loan!$B$8,38-1))</f>
        <v>46665</v>
      </c>
      <c r="C42" s="28">
        <f t="shared" si="2"/>
        <v>3063396.69</v>
      </c>
      <c r="D42" s="28">
        <f t="shared" si="0"/>
        <v>30373.81</v>
      </c>
      <c r="E42" s="28">
        <f>IF($C42="","",ROUND($C42*Loan!$B$6/12,2))</f>
        <v>21699.06</v>
      </c>
      <c r="F42" s="28">
        <f>IF($C42="","",IF(38&gt;=Loan!$B$7,$C42,MIN($C42,MAX(0,Loan!$B$14-$E42))))</f>
        <v>8674.75</v>
      </c>
      <c r="G42" s="28">
        <f>IF($C42="","",MAX(0,MIN($C42-$F42,N(Loan!$B$9)+IF(38=N(Loan!$B$11),N(Loan!$B$10),0))))</f>
        <v>0</v>
      </c>
      <c r="H42" s="28">
        <f t="shared" si="1"/>
        <v>3054721.94</v>
      </c>
      <c r="I42" s="28">
        <f>IF($C42="","",SUM($E$5:$E42))</f>
        <v>908926.72</v>
      </c>
      <c r="J42" s="29"/>
    </row>
    <row r="43" spans="1:10" x14ac:dyDescent="0.3">
      <c r="A43" s="26">
        <f>IF($C43="","",39)</f>
        <v>39</v>
      </c>
      <c r="B43" s="27">
        <f>IF($C43="","",EDATE(Loan!$B$8,39-1))</f>
        <v>46696</v>
      </c>
      <c r="C43" s="28">
        <f t="shared" si="2"/>
        <v>3054721.94</v>
      </c>
      <c r="D43" s="28">
        <f t="shared" si="0"/>
        <v>30373.81</v>
      </c>
      <c r="E43" s="28">
        <f>IF($C43="","",ROUND($C43*Loan!$B$6/12,2))</f>
        <v>21637.61</v>
      </c>
      <c r="F43" s="28">
        <f>IF($C43="","",IF(39&gt;=Loan!$B$7,$C43,MIN($C43,MAX(0,Loan!$B$14-$E43))))</f>
        <v>8736.2000000000007</v>
      </c>
      <c r="G43" s="28">
        <f>IF($C43="","",MAX(0,MIN($C43-$F43,N(Loan!$B$9)+IF(39=N(Loan!$B$11),N(Loan!$B$10),0))))</f>
        <v>0</v>
      </c>
      <c r="H43" s="28">
        <f t="shared" si="1"/>
        <v>3045985.74</v>
      </c>
      <c r="I43" s="28">
        <f>IF($C43="","",SUM($E$5:$E43))</f>
        <v>930564.33</v>
      </c>
      <c r="J43" s="29"/>
    </row>
    <row r="44" spans="1:10" x14ac:dyDescent="0.3">
      <c r="A44" s="26">
        <f>IF($C44="","",40)</f>
        <v>40</v>
      </c>
      <c r="B44" s="27">
        <f>IF($C44="","",EDATE(Loan!$B$8,40-1))</f>
        <v>46726</v>
      </c>
      <c r="C44" s="28">
        <f t="shared" si="2"/>
        <v>3045985.74</v>
      </c>
      <c r="D44" s="28">
        <f t="shared" si="0"/>
        <v>30373.81</v>
      </c>
      <c r="E44" s="28">
        <f>IF($C44="","",ROUND($C44*Loan!$B$6/12,2))</f>
        <v>21575.73</v>
      </c>
      <c r="F44" s="28">
        <f>IF($C44="","",IF(40&gt;=Loan!$B$7,$C44,MIN($C44,MAX(0,Loan!$B$14-$E44))))</f>
        <v>8798.0800000000017</v>
      </c>
      <c r="G44" s="28">
        <f>IF($C44="","",MAX(0,MIN($C44-$F44,N(Loan!$B$9)+IF(40=N(Loan!$B$11),N(Loan!$B$10),0))))</f>
        <v>0</v>
      </c>
      <c r="H44" s="28">
        <f t="shared" si="1"/>
        <v>3037187.66</v>
      </c>
      <c r="I44" s="28">
        <f>IF($C44="","",SUM($E$5:$E44))</f>
        <v>952140.05999999994</v>
      </c>
      <c r="J44" s="29"/>
    </row>
    <row r="45" spans="1:10" x14ac:dyDescent="0.3">
      <c r="A45" s="26">
        <f>IF($C45="","",41)</f>
        <v>41</v>
      </c>
      <c r="B45" s="27">
        <f>IF($C45="","",EDATE(Loan!$B$8,41-1))</f>
        <v>46757</v>
      </c>
      <c r="C45" s="28">
        <f t="shared" si="2"/>
        <v>3037187.66</v>
      </c>
      <c r="D45" s="28">
        <f t="shared" si="0"/>
        <v>30373.81</v>
      </c>
      <c r="E45" s="28">
        <f>IF($C45="","",ROUND($C45*Loan!$B$6/12,2))</f>
        <v>21513.41</v>
      </c>
      <c r="F45" s="28">
        <f>IF($C45="","",IF(41&gt;=Loan!$B$7,$C45,MIN($C45,MAX(0,Loan!$B$14-$E45))))</f>
        <v>8860.4000000000015</v>
      </c>
      <c r="G45" s="28">
        <f>IF($C45="","",MAX(0,MIN($C45-$F45,N(Loan!$B$9)+IF(41=N(Loan!$B$11),N(Loan!$B$10),0))))</f>
        <v>0</v>
      </c>
      <c r="H45" s="28">
        <f t="shared" si="1"/>
        <v>3028327.26</v>
      </c>
      <c r="I45" s="28">
        <f>IF($C45="","",SUM($E$5:$E45))</f>
        <v>973653.47</v>
      </c>
      <c r="J45" s="29"/>
    </row>
    <row r="46" spans="1:10" x14ac:dyDescent="0.3">
      <c r="A46" s="26">
        <f>IF($C46="","",42)</f>
        <v>42</v>
      </c>
      <c r="B46" s="27">
        <f>IF($C46="","",EDATE(Loan!$B$8,42-1))</f>
        <v>46788</v>
      </c>
      <c r="C46" s="28">
        <f t="shared" si="2"/>
        <v>3028327.26</v>
      </c>
      <c r="D46" s="28">
        <f t="shared" si="0"/>
        <v>30373.81</v>
      </c>
      <c r="E46" s="28">
        <f>IF($C46="","",ROUND($C46*Loan!$B$6/12,2))</f>
        <v>21450.65</v>
      </c>
      <c r="F46" s="28">
        <f>IF($C46="","",IF(42&gt;=Loan!$B$7,$C46,MIN($C46,MAX(0,Loan!$B$14-$E46))))</f>
        <v>8923.16</v>
      </c>
      <c r="G46" s="28">
        <f>IF($C46="","",MAX(0,MIN($C46-$F46,N(Loan!$B$9)+IF(42=N(Loan!$B$11),N(Loan!$B$10),0))))</f>
        <v>0</v>
      </c>
      <c r="H46" s="28">
        <f t="shared" si="1"/>
        <v>3019404.1</v>
      </c>
      <c r="I46" s="28">
        <f>IF($C46="","",SUM($E$5:$E46))</f>
        <v>995104.12</v>
      </c>
      <c r="J46" s="29"/>
    </row>
    <row r="47" spans="1:10" x14ac:dyDescent="0.3">
      <c r="A47" s="26">
        <f>IF($C47="","",43)</f>
        <v>43</v>
      </c>
      <c r="B47" s="27">
        <f>IF($C47="","",EDATE(Loan!$B$8,43-1))</f>
        <v>46817</v>
      </c>
      <c r="C47" s="28">
        <f t="shared" si="2"/>
        <v>3019404.1</v>
      </c>
      <c r="D47" s="28">
        <f t="shared" si="0"/>
        <v>30373.81</v>
      </c>
      <c r="E47" s="28">
        <f>IF($C47="","",ROUND($C47*Loan!$B$6/12,2))</f>
        <v>21387.45</v>
      </c>
      <c r="F47" s="28">
        <f>IF($C47="","",IF(43&gt;=Loan!$B$7,$C47,MIN($C47,MAX(0,Loan!$B$14-$E47))))</f>
        <v>8986.36</v>
      </c>
      <c r="G47" s="28">
        <f>IF($C47="","",MAX(0,MIN($C47-$F47,N(Loan!$B$9)+IF(43=N(Loan!$B$11),N(Loan!$B$10),0))))</f>
        <v>0</v>
      </c>
      <c r="H47" s="28">
        <f t="shared" si="1"/>
        <v>3010417.74</v>
      </c>
      <c r="I47" s="28">
        <f>IF($C47="","",SUM($E$5:$E47))</f>
        <v>1016491.57</v>
      </c>
      <c r="J47" s="29"/>
    </row>
    <row r="48" spans="1:10" x14ac:dyDescent="0.3">
      <c r="A48" s="26">
        <f>IF($C48="","",44)</f>
        <v>44</v>
      </c>
      <c r="B48" s="27">
        <f>IF($C48="","",EDATE(Loan!$B$8,44-1))</f>
        <v>46848</v>
      </c>
      <c r="C48" s="28">
        <f t="shared" si="2"/>
        <v>3010417.74</v>
      </c>
      <c r="D48" s="28">
        <f t="shared" si="0"/>
        <v>30373.81</v>
      </c>
      <c r="E48" s="28">
        <f>IF($C48="","",ROUND($C48*Loan!$B$6/12,2))</f>
        <v>21323.79</v>
      </c>
      <c r="F48" s="28">
        <f>IF($C48="","",IF(44&gt;=Loan!$B$7,$C48,MIN($C48,MAX(0,Loan!$B$14-$E48))))</f>
        <v>9050.02</v>
      </c>
      <c r="G48" s="28">
        <f>IF($C48="","",MAX(0,MIN($C48-$F48,N(Loan!$B$9)+IF(44=N(Loan!$B$11),N(Loan!$B$10),0))))</f>
        <v>0</v>
      </c>
      <c r="H48" s="28">
        <f t="shared" si="1"/>
        <v>3001367.72</v>
      </c>
      <c r="I48" s="28">
        <f>IF($C48="","",SUM($E$5:$E48))</f>
        <v>1037815.36</v>
      </c>
      <c r="J48" s="29"/>
    </row>
    <row r="49" spans="1:10" x14ac:dyDescent="0.3">
      <c r="A49" s="26">
        <f>IF($C49="","",45)</f>
        <v>45</v>
      </c>
      <c r="B49" s="27">
        <f>IF($C49="","",EDATE(Loan!$B$8,45-1))</f>
        <v>46878</v>
      </c>
      <c r="C49" s="28">
        <f t="shared" si="2"/>
        <v>3001367.72</v>
      </c>
      <c r="D49" s="28">
        <f t="shared" si="0"/>
        <v>30373.81</v>
      </c>
      <c r="E49" s="28">
        <f>IF($C49="","",ROUND($C49*Loan!$B$6/12,2))</f>
        <v>21259.69</v>
      </c>
      <c r="F49" s="28">
        <f>IF($C49="","",IF(45&gt;=Loan!$B$7,$C49,MIN($C49,MAX(0,Loan!$B$14-$E49))))</f>
        <v>9114.1200000000026</v>
      </c>
      <c r="G49" s="28">
        <f>IF($C49="","",MAX(0,MIN($C49-$F49,N(Loan!$B$9)+IF(45=N(Loan!$B$11),N(Loan!$B$10),0))))</f>
        <v>0</v>
      </c>
      <c r="H49" s="28">
        <f t="shared" si="1"/>
        <v>2992253.6</v>
      </c>
      <c r="I49" s="28">
        <f>IF($C49="","",SUM($E$5:$E49))</f>
        <v>1059075.05</v>
      </c>
      <c r="J49" s="29"/>
    </row>
    <row r="50" spans="1:10" x14ac:dyDescent="0.3">
      <c r="A50" s="26">
        <f>IF($C50="","",46)</f>
        <v>46</v>
      </c>
      <c r="B50" s="27">
        <f>IF($C50="","",EDATE(Loan!$B$8,46-1))</f>
        <v>46909</v>
      </c>
      <c r="C50" s="28">
        <f t="shared" si="2"/>
        <v>2992253.6</v>
      </c>
      <c r="D50" s="28">
        <f t="shared" si="0"/>
        <v>30373.81</v>
      </c>
      <c r="E50" s="28">
        <f>IF($C50="","",ROUND($C50*Loan!$B$6/12,2))</f>
        <v>21195.13</v>
      </c>
      <c r="F50" s="28">
        <f>IF($C50="","",IF(46&gt;=Loan!$B$7,$C50,MIN($C50,MAX(0,Loan!$B$14-$E50))))</f>
        <v>9178.68</v>
      </c>
      <c r="G50" s="28">
        <f>IF($C50="","",MAX(0,MIN($C50-$F50,N(Loan!$B$9)+IF(46=N(Loan!$B$11),N(Loan!$B$10),0))))</f>
        <v>0</v>
      </c>
      <c r="H50" s="28">
        <f t="shared" si="1"/>
        <v>2983074.92</v>
      </c>
      <c r="I50" s="28">
        <f>IF($C50="","",SUM($E$5:$E50))</f>
        <v>1080270.18</v>
      </c>
      <c r="J50" s="29"/>
    </row>
    <row r="51" spans="1:10" x14ac:dyDescent="0.3">
      <c r="A51" s="26">
        <f>IF($C51="","",47)</f>
        <v>47</v>
      </c>
      <c r="B51" s="27">
        <f>IF($C51="","",EDATE(Loan!$B$8,47-1))</f>
        <v>46939</v>
      </c>
      <c r="C51" s="28">
        <f t="shared" si="2"/>
        <v>2983074.92</v>
      </c>
      <c r="D51" s="28">
        <f t="shared" si="0"/>
        <v>30373.81</v>
      </c>
      <c r="E51" s="28">
        <f>IF($C51="","",ROUND($C51*Loan!$B$6/12,2))</f>
        <v>21130.11</v>
      </c>
      <c r="F51" s="28">
        <f>IF($C51="","",IF(47&gt;=Loan!$B$7,$C51,MIN($C51,MAX(0,Loan!$B$14-$E51))))</f>
        <v>9243.7000000000007</v>
      </c>
      <c r="G51" s="28">
        <f>IF($C51="","",MAX(0,MIN($C51-$F51,N(Loan!$B$9)+IF(47=N(Loan!$B$11),N(Loan!$B$10),0))))</f>
        <v>0</v>
      </c>
      <c r="H51" s="28">
        <f t="shared" si="1"/>
        <v>2973831.22</v>
      </c>
      <c r="I51" s="28">
        <f>IF($C51="","",SUM($E$5:$E51))</f>
        <v>1101400.29</v>
      </c>
      <c r="J51" s="29"/>
    </row>
    <row r="52" spans="1:10" x14ac:dyDescent="0.3">
      <c r="A52" s="26">
        <f>IF($C52="","",48)</f>
        <v>48</v>
      </c>
      <c r="B52" s="27">
        <f>IF($C52="","",EDATE(Loan!$B$8,48-1))</f>
        <v>46970</v>
      </c>
      <c r="C52" s="28">
        <f t="shared" si="2"/>
        <v>2973831.22</v>
      </c>
      <c r="D52" s="28">
        <f t="shared" si="0"/>
        <v>30373.81</v>
      </c>
      <c r="E52" s="28">
        <f>IF($C52="","",ROUND($C52*Loan!$B$6/12,2))</f>
        <v>21064.639999999999</v>
      </c>
      <c r="F52" s="28">
        <f>IF($C52="","",IF(48&gt;=Loan!$B$7,$C52,MIN($C52,MAX(0,Loan!$B$14-$E52))))</f>
        <v>9309.1700000000019</v>
      </c>
      <c r="G52" s="28">
        <f>IF($C52="","",MAX(0,MIN($C52-$F52,N(Loan!$B$9)+IF(48=N(Loan!$B$11),N(Loan!$B$10),0))))</f>
        <v>0</v>
      </c>
      <c r="H52" s="28">
        <f t="shared" si="1"/>
        <v>2964522.05</v>
      </c>
      <c r="I52" s="28">
        <f>IF($C52="","",SUM($E$5:$E52))</f>
        <v>1122464.93</v>
      </c>
      <c r="J52" s="29"/>
    </row>
    <row r="53" spans="1:10" x14ac:dyDescent="0.3">
      <c r="A53" s="26">
        <f>IF($C53="","",49)</f>
        <v>49</v>
      </c>
      <c r="B53" s="27">
        <f>IF($C53="","",EDATE(Loan!$B$8,49-1))</f>
        <v>47001</v>
      </c>
      <c r="C53" s="28">
        <f t="shared" si="2"/>
        <v>2964522.05</v>
      </c>
      <c r="D53" s="28">
        <f t="shared" si="0"/>
        <v>30373.81</v>
      </c>
      <c r="E53" s="28">
        <f>IF($C53="","",ROUND($C53*Loan!$B$6/12,2))</f>
        <v>20998.7</v>
      </c>
      <c r="F53" s="28">
        <f>IF($C53="","",IF(49&gt;=Loan!$B$7,$C53,MIN($C53,MAX(0,Loan!$B$14-$E53))))</f>
        <v>9375.11</v>
      </c>
      <c r="G53" s="28">
        <f>IF($C53="","",MAX(0,MIN($C53-$F53,N(Loan!$B$9)+IF(49=N(Loan!$B$11),N(Loan!$B$10),0))))</f>
        <v>0</v>
      </c>
      <c r="H53" s="28">
        <f t="shared" si="1"/>
        <v>2955146.94</v>
      </c>
      <c r="I53" s="28">
        <f>IF($C53="","",SUM($E$5:$E53))</f>
        <v>1143463.6299999999</v>
      </c>
      <c r="J53" s="29"/>
    </row>
    <row r="54" spans="1:10" x14ac:dyDescent="0.3">
      <c r="A54" s="26">
        <f>IF($C54="","",50)</f>
        <v>50</v>
      </c>
      <c r="B54" s="27">
        <f>IF($C54="","",EDATE(Loan!$B$8,50-1))</f>
        <v>47031</v>
      </c>
      <c r="C54" s="28">
        <f t="shared" si="2"/>
        <v>2955146.94</v>
      </c>
      <c r="D54" s="28">
        <f t="shared" si="0"/>
        <v>30373.81</v>
      </c>
      <c r="E54" s="28">
        <f>IF($C54="","",ROUND($C54*Loan!$B$6/12,2))</f>
        <v>20932.29</v>
      </c>
      <c r="F54" s="28">
        <f>IF($C54="","",IF(50&gt;=Loan!$B$7,$C54,MIN($C54,MAX(0,Loan!$B$14-$E54))))</f>
        <v>9441.52</v>
      </c>
      <c r="G54" s="28">
        <f>IF($C54="","",MAX(0,MIN($C54-$F54,N(Loan!$B$9)+IF(50=N(Loan!$B$11),N(Loan!$B$10),0))))</f>
        <v>0</v>
      </c>
      <c r="H54" s="28">
        <f t="shared" si="1"/>
        <v>2945705.42</v>
      </c>
      <c r="I54" s="28">
        <f>IF($C54="","",SUM($E$5:$E54))</f>
        <v>1164395.92</v>
      </c>
      <c r="J54" s="29"/>
    </row>
    <row r="55" spans="1:10" x14ac:dyDescent="0.3">
      <c r="A55" s="26">
        <f>IF($C55="","",51)</f>
        <v>51</v>
      </c>
      <c r="B55" s="27">
        <f>IF($C55="","",EDATE(Loan!$B$8,51-1))</f>
        <v>47062</v>
      </c>
      <c r="C55" s="28">
        <f t="shared" si="2"/>
        <v>2945705.42</v>
      </c>
      <c r="D55" s="28">
        <f t="shared" si="0"/>
        <v>30373.81</v>
      </c>
      <c r="E55" s="28">
        <f>IF($C55="","",ROUND($C55*Loan!$B$6/12,2))</f>
        <v>20865.41</v>
      </c>
      <c r="F55" s="28">
        <f>IF($C55="","",IF(51&gt;=Loan!$B$7,$C55,MIN($C55,MAX(0,Loan!$B$14-$E55))))</f>
        <v>9508.4000000000015</v>
      </c>
      <c r="G55" s="28">
        <f>IF($C55="","",MAX(0,MIN($C55-$F55,N(Loan!$B$9)+IF(51=N(Loan!$B$11),N(Loan!$B$10),0))))</f>
        <v>0</v>
      </c>
      <c r="H55" s="28">
        <f t="shared" si="1"/>
        <v>2936197.02</v>
      </c>
      <c r="I55" s="28">
        <f>IF($C55="","",SUM($E$5:$E55))</f>
        <v>1185261.3299999998</v>
      </c>
      <c r="J55" s="29"/>
    </row>
    <row r="56" spans="1:10" x14ac:dyDescent="0.3">
      <c r="A56" s="26">
        <f>IF($C56="","",52)</f>
        <v>52</v>
      </c>
      <c r="B56" s="27">
        <f>IF($C56="","",EDATE(Loan!$B$8,52-1))</f>
        <v>47092</v>
      </c>
      <c r="C56" s="28">
        <f t="shared" si="2"/>
        <v>2936197.02</v>
      </c>
      <c r="D56" s="28">
        <f t="shared" si="0"/>
        <v>30373.81</v>
      </c>
      <c r="E56" s="28">
        <f>IF($C56="","",ROUND($C56*Loan!$B$6/12,2))</f>
        <v>20798.060000000001</v>
      </c>
      <c r="F56" s="28">
        <f>IF($C56="","",IF(52&gt;=Loan!$B$7,$C56,MIN($C56,MAX(0,Loan!$B$14-$E56))))</f>
        <v>9575.75</v>
      </c>
      <c r="G56" s="28">
        <f>IF($C56="","",MAX(0,MIN($C56-$F56,N(Loan!$B$9)+IF(52=N(Loan!$B$11),N(Loan!$B$10),0))))</f>
        <v>0</v>
      </c>
      <c r="H56" s="28">
        <f t="shared" si="1"/>
        <v>2926621.27</v>
      </c>
      <c r="I56" s="28">
        <f>IF($C56="","",SUM($E$5:$E56))</f>
        <v>1206059.3899999999</v>
      </c>
      <c r="J56" s="29"/>
    </row>
    <row r="57" spans="1:10" x14ac:dyDescent="0.3">
      <c r="A57" s="26">
        <f>IF($C57="","",53)</f>
        <v>53</v>
      </c>
      <c r="B57" s="27">
        <f>IF($C57="","",EDATE(Loan!$B$8,53-1))</f>
        <v>47123</v>
      </c>
      <c r="C57" s="28">
        <f t="shared" si="2"/>
        <v>2926621.27</v>
      </c>
      <c r="D57" s="28">
        <f t="shared" si="0"/>
        <v>30373.81</v>
      </c>
      <c r="E57" s="28">
        <f>IF($C57="","",ROUND($C57*Loan!$B$6/12,2))</f>
        <v>20730.23</v>
      </c>
      <c r="F57" s="28">
        <f>IF($C57="","",IF(53&gt;=Loan!$B$7,$C57,MIN($C57,MAX(0,Loan!$B$14-$E57))))</f>
        <v>9643.5800000000017</v>
      </c>
      <c r="G57" s="28">
        <f>IF($C57="","",MAX(0,MIN($C57-$F57,N(Loan!$B$9)+IF(53=N(Loan!$B$11),N(Loan!$B$10),0))))</f>
        <v>0</v>
      </c>
      <c r="H57" s="28">
        <f t="shared" si="1"/>
        <v>2916977.69</v>
      </c>
      <c r="I57" s="28">
        <f>IF($C57="","",SUM($E$5:$E57))</f>
        <v>1226789.6199999999</v>
      </c>
      <c r="J57" s="29"/>
    </row>
    <row r="58" spans="1:10" x14ac:dyDescent="0.3">
      <c r="A58" s="26">
        <f>IF($C58="","",54)</f>
        <v>54</v>
      </c>
      <c r="B58" s="27">
        <f>IF($C58="","",EDATE(Loan!$B$8,54-1))</f>
        <v>47154</v>
      </c>
      <c r="C58" s="28">
        <f t="shared" si="2"/>
        <v>2916977.69</v>
      </c>
      <c r="D58" s="28">
        <f t="shared" si="0"/>
        <v>30373.81</v>
      </c>
      <c r="E58" s="28">
        <f>IF($C58="","",ROUND($C58*Loan!$B$6/12,2))</f>
        <v>20661.93</v>
      </c>
      <c r="F58" s="28">
        <f>IF($C58="","",IF(54&gt;=Loan!$B$7,$C58,MIN($C58,MAX(0,Loan!$B$14-$E58))))</f>
        <v>9711.880000000001</v>
      </c>
      <c r="G58" s="28">
        <f>IF($C58="","",MAX(0,MIN($C58-$F58,N(Loan!$B$9)+IF(54=N(Loan!$B$11),N(Loan!$B$10),0))))</f>
        <v>0</v>
      </c>
      <c r="H58" s="28">
        <f t="shared" si="1"/>
        <v>2907265.81</v>
      </c>
      <c r="I58" s="28">
        <f>IF($C58="","",SUM($E$5:$E58))</f>
        <v>1247451.5499999998</v>
      </c>
      <c r="J58" s="29"/>
    </row>
    <row r="59" spans="1:10" x14ac:dyDescent="0.3">
      <c r="A59" s="26">
        <f>IF($C59="","",55)</f>
        <v>55</v>
      </c>
      <c r="B59" s="27">
        <f>IF($C59="","",EDATE(Loan!$B$8,55-1))</f>
        <v>47182</v>
      </c>
      <c r="C59" s="28">
        <f t="shared" si="2"/>
        <v>2907265.81</v>
      </c>
      <c r="D59" s="28">
        <f t="shared" si="0"/>
        <v>30373.81</v>
      </c>
      <c r="E59" s="28">
        <f>IF($C59="","",ROUND($C59*Loan!$B$6/12,2))</f>
        <v>20593.13</v>
      </c>
      <c r="F59" s="28">
        <f>IF($C59="","",IF(55&gt;=Loan!$B$7,$C59,MIN($C59,MAX(0,Loan!$B$14-$E59))))</f>
        <v>9780.68</v>
      </c>
      <c r="G59" s="28">
        <f>IF($C59="","",MAX(0,MIN($C59-$F59,N(Loan!$B$9)+IF(55=N(Loan!$B$11),N(Loan!$B$10),0))))</f>
        <v>0</v>
      </c>
      <c r="H59" s="28">
        <f t="shared" si="1"/>
        <v>2897485.13</v>
      </c>
      <c r="I59" s="28">
        <f>IF($C59="","",SUM($E$5:$E59))</f>
        <v>1268044.6799999997</v>
      </c>
      <c r="J59" s="29"/>
    </row>
    <row r="60" spans="1:10" x14ac:dyDescent="0.3">
      <c r="A60" s="26">
        <f>IF($C60="","",56)</f>
        <v>56</v>
      </c>
      <c r="B60" s="27">
        <f>IF($C60="","",EDATE(Loan!$B$8,56-1))</f>
        <v>47213</v>
      </c>
      <c r="C60" s="28">
        <f t="shared" si="2"/>
        <v>2897485.13</v>
      </c>
      <c r="D60" s="28">
        <f t="shared" si="0"/>
        <v>30373.81</v>
      </c>
      <c r="E60" s="28">
        <f>IF($C60="","",ROUND($C60*Loan!$B$6/12,2))</f>
        <v>20523.849999999999</v>
      </c>
      <c r="F60" s="28">
        <f>IF($C60="","",IF(56&gt;=Loan!$B$7,$C60,MIN($C60,MAX(0,Loan!$B$14-$E60))))</f>
        <v>9849.9600000000028</v>
      </c>
      <c r="G60" s="28">
        <f>IF($C60="","",MAX(0,MIN($C60-$F60,N(Loan!$B$9)+IF(56=N(Loan!$B$11),N(Loan!$B$10),0))))</f>
        <v>0</v>
      </c>
      <c r="H60" s="28">
        <f t="shared" si="1"/>
        <v>2887635.17</v>
      </c>
      <c r="I60" s="28">
        <f>IF($C60="","",SUM($E$5:$E60))</f>
        <v>1288568.5299999998</v>
      </c>
      <c r="J60" s="29"/>
    </row>
    <row r="61" spans="1:10" x14ac:dyDescent="0.3">
      <c r="A61" s="26">
        <f>IF($C61="","",57)</f>
        <v>57</v>
      </c>
      <c r="B61" s="27">
        <f>IF($C61="","",EDATE(Loan!$B$8,57-1))</f>
        <v>47243</v>
      </c>
      <c r="C61" s="28">
        <f t="shared" si="2"/>
        <v>2887635.17</v>
      </c>
      <c r="D61" s="28">
        <f t="shared" si="0"/>
        <v>30373.81</v>
      </c>
      <c r="E61" s="28">
        <f>IF($C61="","",ROUND($C61*Loan!$B$6/12,2))</f>
        <v>20454.080000000002</v>
      </c>
      <c r="F61" s="28">
        <f>IF($C61="","",IF(57&gt;=Loan!$B$7,$C61,MIN($C61,MAX(0,Loan!$B$14-$E61))))</f>
        <v>9919.73</v>
      </c>
      <c r="G61" s="28">
        <f>IF($C61="","",MAX(0,MIN($C61-$F61,N(Loan!$B$9)+IF(57=N(Loan!$B$11),N(Loan!$B$10),0))))</f>
        <v>0</v>
      </c>
      <c r="H61" s="28">
        <f t="shared" si="1"/>
        <v>2877715.44</v>
      </c>
      <c r="I61" s="28">
        <f>IF($C61="","",SUM($E$5:$E61))</f>
        <v>1309022.6099999999</v>
      </c>
      <c r="J61" s="29"/>
    </row>
    <row r="62" spans="1:10" x14ac:dyDescent="0.3">
      <c r="A62" s="26">
        <f>IF($C62="","",58)</f>
        <v>58</v>
      </c>
      <c r="B62" s="27">
        <f>IF($C62="","",EDATE(Loan!$B$8,58-1))</f>
        <v>47274</v>
      </c>
      <c r="C62" s="28">
        <f t="shared" si="2"/>
        <v>2877715.44</v>
      </c>
      <c r="D62" s="28">
        <f t="shared" si="0"/>
        <v>30373.81</v>
      </c>
      <c r="E62" s="28">
        <f>IF($C62="","",ROUND($C62*Loan!$B$6/12,2))</f>
        <v>20383.82</v>
      </c>
      <c r="F62" s="28">
        <f>IF($C62="","",IF(58&gt;=Loan!$B$7,$C62,MIN($C62,MAX(0,Loan!$B$14-$E62))))</f>
        <v>9989.9900000000016</v>
      </c>
      <c r="G62" s="28">
        <f>IF($C62="","",MAX(0,MIN($C62-$F62,N(Loan!$B$9)+IF(58=N(Loan!$B$11),N(Loan!$B$10),0))))</f>
        <v>0</v>
      </c>
      <c r="H62" s="28">
        <f t="shared" si="1"/>
        <v>2867725.45</v>
      </c>
      <c r="I62" s="28">
        <f>IF($C62="","",SUM($E$5:$E62))</f>
        <v>1329406.43</v>
      </c>
      <c r="J62" s="29"/>
    </row>
    <row r="63" spans="1:10" x14ac:dyDescent="0.3">
      <c r="A63" s="26">
        <f>IF($C63="","",59)</f>
        <v>59</v>
      </c>
      <c r="B63" s="27">
        <f>IF($C63="","",EDATE(Loan!$B$8,59-1))</f>
        <v>47304</v>
      </c>
      <c r="C63" s="28">
        <f t="shared" si="2"/>
        <v>2867725.45</v>
      </c>
      <c r="D63" s="28">
        <f t="shared" si="0"/>
        <v>30373.81</v>
      </c>
      <c r="E63" s="28">
        <f>IF($C63="","",ROUND($C63*Loan!$B$6/12,2))</f>
        <v>20313.060000000001</v>
      </c>
      <c r="F63" s="28">
        <f>IF($C63="","",IF(59&gt;=Loan!$B$7,$C63,MIN($C63,MAX(0,Loan!$B$14-$E63))))</f>
        <v>10060.75</v>
      </c>
      <c r="G63" s="28">
        <f>IF($C63="","",MAX(0,MIN($C63-$F63,N(Loan!$B$9)+IF(59=N(Loan!$B$11),N(Loan!$B$10),0))))</f>
        <v>0</v>
      </c>
      <c r="H63" s="28">
        <f t="shared" si="1"/>
        <v>2857664.7</v>
      </c>
      <c r="I63" s="28">
        <f>IF($C63="","",SUM($E$5:$E63))</f>
        <v>1349719.49</v>
      </c>
      <c r="J63" s="29"/>
    </row>
    <row r="64" spans="1:10" x14ac:dyDescent="0.3">
      <c r="A64" s="26">
        <f>IF($C64="","",60)</f>
        <v>60</v>
      </c>
      <c r="B64" s="27">
        <f>IF($C64="","",EDATE(Loan!$B$8,60-1))</f>
        <v>47335</v>
      </c>
      <c r="C64" s="28">
        <f t="shared" si="2"/>
        <v>2857664.7</v>
      </c>
      <c r="D64" s="28">
        <f t="shared" si="0"/>
        <v>30373.81</v>
      </c>
      <c r="E64" s="28">
        <f>IF($C64="","",ROUND($C64*Loan!$B$6/12,2))</f>
        <v>20241.79</v>
      </c>
      <c r="F64" s="28">
        <f>IF($C64="","",IF(60&gt;=Loan!$B$7,$C64,MIN($C64,MAX(0,Loan!$B$14-$E64))))</f>
        <v>10132.02</v>
      </c>
      <c r="G64" s="28">
        <f>IF($C64="","",MAX(0,MIN($C64-$F64,N(Loan!$B$9)+IF(60=N(Loan!$B$11),N(Loan!$B$10),0))))</f>
        <v>0</v>
      </c>
      <c r="H64" s="28">
        <f t="shared" si="1"/>
        <v>2847532.68</v>
      </c>
      <c r="I64" s="28">
        <f>IF($C64="","",SUM($E$5:$E64))</f>
        <v>1369961.28</v>
      </c>
      <c r="J64" s="29"/>
    </row>
    <row r="65" spans="1:10" x14ac:dyDescent="0.3">
      <c r="A65" s="26">
        <f>IF($C65="","",61)</f>
        <v>61</v>
      </c>
      <c r="B65" s="27">
        <f>IF($C65="","",EDATE(Loan!$B$8,61-1))</f>
        <v>47366</v>
      </c>
      <c r="C65" s="28">
        <f t="shared" si="2"/>
        <v>2847532.68</v>
      </c>
      <c r="D65" s="28">
        <f t="shared" si="0"/>
        <v>30373.81</v>
      </c>
      <c r="E65" s="28">
        <f>IF($C65="","",ROUND($C65*Loan!$B$6/12,2))</f>
        <v>20170.02</v>
      </c>
      <c r="F65" s="28">
        <f>IF($C65="","",IF(61&gt;=Loan!$B$7,$C65,MIN($C65,MAX(0,Loan!$B$14-$E65))))</f>
        <v>10203.790000000001</v>
      </c>
      <c r="G65" s="28">
        <f>IF($C65="","",MAX(0,MIN($C65-$F65,N(Loan!$B$9)+IF(61=N(Loan!$B$11),N(Loan!$B$10),0))))</f>
        <v>0</v>
      </c>
      <c r="H65" s="28">
        <f t="shared" si="1"/>
        <v>2837328.89</v>
      </c>
      <c r="I65" s="28">
        <f>IF($C65="","",SUM($E$5:$E65))</f>
        <v>1390131.3</v>
      </c>
      <c r="J65" s="29"/>
    </row>
    <row r="66" spans="1:10" x14ac:dyDescent="0.3">
      <c r="A66" s="26">
        <f>IF($C66="","",62)</f>
        <v>62</v>
      </c>
      <c r="B66" s="27">
        <f>IF($C66="","",EDATE(Loan!$B$8,62-1))</f>
        <v>47396</v>
      </c>
      <c r="C66" s="28">
        <f t="shared" si="2"/>
        <v>2837328.89</v>
      </c>
      <c r="D66" s="28">
        <f t="shared" si="0"/>
        <v>30373.81</v>
      </c>
      <c r="E66" s="28">
        <f>IF($C66="","",ROUND($C66*Loan!$B$6/12,2))</f>
        <v>20097.75</v>
      </c>
      <c r="F66" s="28">
        <f>IF($C66="","",IF(62&gt;=Loan!$B$7,$C66,MIN($C66,MAX(0,Loan!$B$14-$E66))))</f>
        <v>10276.060000000001</v>
      </c>
      <c r="G66" s="28">
        <f>IF($C66="","",MAX(0,MIN($C66-$F66,N(Loan!$B$9)+IF(62=N(Loan!$B$11),N(Loan!$B$10),0))))</f>
        <v>0</v>
      </c>
      <c r="H66" s="28">
        <f t="shared" si="1"/>
        <v>2827052.83</v>
      </c>
      <c r="I66" s="28">
        <f>IF($C66="","",SUM($E$5:$E66))</f>
        <v>1410229.05</v>
      </c>
      <c r="J66" s="29"/>
    </row>
    <row r="67" spans="1:10" x14ac:dyDescent="0.3">
      <c r="A67" s="26">
        <f>IF($C67="","",63)</f>
        <v>63</v>
      </c>
      <c r="B67" s="27">
        <f>IF($C67="","",EDATE(Loan!$B$8,63-1))</f>
        <v>47427</v>
      </c>
      <c r="C67" s="28">
        <f t="shared" si="2"/>
        <v>2827052.83</v>
      </c>
      <c r="D67" s="28">
        <f t="shared" si="0"/>
        <v>30373.81</v>
      </c>
      <c r="E67" s="28">
        <f>IF($C67="","",ROUND($C67*Loan!$B$6/12,2))</f>
        <v>20024.96</v>
      </c>
      <c r="F67" s="28">
        <f>IF($C67="","",IF(63&gt;=Loan!$B$7,$C67,MIN($C67,MAX(0,Loan!$B$14-$E67))))</f>
        <v>10348.850000000002</v>
      </c>
      <c r="G67" s="28">
        <f>IF($C67="","",MAX(0,MIN($C67-$F67,N(Loan!$B$9)+IF(63=N(Loan!$B$11),N(Loan!$B$10),0))))</f>
        <v>0</v>
      </c>
      <c r="H67" s="28">
        <f t="shared" si="1"/>
        <v>2816703.98</v>
      </c>
      <c r="I67" s="28">
        <f>IF($C67="","",SUM($E$5:$E67))</f>
        <v>1430254.01</v>
      </c>
      <c r="J67" s="29"/>
    </row>
    <row r="68" spans="1:10" x14ac:dyDescent="0.3">
      <c r="A68" s="26">
        <f>IF($C68="","",64)</f>
        <v>64</v>
      </c>
      <c r="B68" s="27">
        <f>IF($C68="","",EDATE(Loan!$B$8,64-1))</f>
        <v>47457</v>
      </c>
      <c r="C68" s="28">
        <f t="shared" si="2"/>
        <v>2816703.98</v>
      </c>
      <c r="D68" s="28">
        <f t="shared" si="0"/>
        <v>30373.81</v>
      </c>
      <c r="E68" s="28">
        <f>IF($C68="","",ROUND($C68*Loan!$B$6/12,2))</f>
        <v>19951.650000000001</v>
      </c>
      <c r="F68" s="28">
        <f>IF($C68="","",IF(64&gt;=Loan!$B$7,$C68,MIN($C68,MAX(0,Loan!$B$14-$E68))))</f>
        <v>10422.16</v>
      </c>
      <c r="G68" s="28">
        <f>IF($C68="","",MAX(0,MIN($C68-$F68,N(Loan!$B$9)+IF(64=N(Loan!$B$11),N(Loan!$B$10),0))))</f>
        <v>0</v>
      </c>
      <c r="H68" s="28">
        <f t="shared" si="1"/>
        <v>2806281.82</v>
      </c>
      <c r="I68" s="28">
        <f>IF($C68="","",SUM($E$5:$E68))</f>
        <v>1450205.66</v>
      </c>
      <c r="J68" s="29"/>
    </row>
    <row r="69" spans="1:10" x14ac:dyDescent="0.3">
      <c r="A69" s="26">
        <f>IF($C69="","",65)</f>
        <v>65</v>
      </c>
      <c r="B69" s="27">
        <f>IF($C69="","",EDATE(Loan!$B$8,65-1))</f>
        <v>47488</v>
      </c>
      <c r="C69" s="28">
        <f t="shared" si="2"/>
        <v>2806281.82</v>
      </c>
      <c r="D69" s="28">
        <f t="shared" ref="D69:D132" si="3">IF($C69="","",$E69+$F69)</f>
        <v>30373.81</v>
      </c>
      <c r="E69" s="28">
        <f>IF($C69="","",ROUND($C69*Loan!$B$6/12,2))</f>
        <v>19877.830000000002</v>
      </c>
      <c r="F69" s="28">
        <f>IF($C69="","",IF(65&gt;=Loan!$B$7,$C69,MIN($C69,MAX(0,Loan!$B$14-$E69))))</f>
        <v>10495.98</v>
      </c>
      <c r="G69" s="28">
        <f>IF($C69="","",MAX(0,MIN($C69-$F69,N(Loan!$B$9)+IF(65=N(Loan!$B$11),N(Loan!$B$10),0))))</f>
        <v>0</v>
      </c>
      <c r="H69" s="28">
        <f t="shared" ref="H69:H132" si="4">IF($C69="","",ROUND($C69-$F69-$G69,2))</f>
        <v>2795785.84</v>
      </c>
      <c r="I69" s="28">
        <f>IF($C69="","",SUM($E$5:$E69))</f>
        <v>1470083.49</v>
      </c>
      <c r="J69" s="29"/>
    </row>
    <row r="70" spans="1:10" x14ac:dyDescent="0.3">
      <c r="A70" s="26">
        <f>IF($C70="","",66)</f>
        <v>66</v>
      </c>
      <c r="B70" s="27">
        <f>IF($C70="","",EDATE(Loan!$B$8,66-1))</f>
        <v>47519</v>
      </c>
      <c r="C70" s="28">
        <f t="shared" ref="C70:C133" si="5">IF(H69="","",IF(H69&lt;0.005,"",H69))</f>
        <v>2795785.84</v>
      </c>
      <c r="D70" s="28">
        <f t="shared" si="3"/>
        <v>30373.81</v>
      </c>
      <c r="E70" s="28">
        <f>IF($C70="","",ROUND($C70*Loan!$B$6/12,2))</f>
        <v>19803.48</v>
      </c>
      <c r="F70" s="28">
        <f>IF($C70="","",IF(66&gt;=Loan!$B$7,$C70,MIN($C70,MAX(0,Loan!$B$14-$E70))))</f>
        <v>10570.330000000002</v>
      </c>
      <c r="G70" s="28">
        <f>IF($C70="","",MAX(0,MIN($C70-$F70,N(Loan!$B$9)+IF(66=N(Loan!$B$11),N(Loan!$B$10),0))))</f>
        <v>0</v>
      </c>
      <c r="H70" s="28">
        <f t="shared" si="4"/>
        <v>2785215.51</v>
      </c>
      <c r="I70" s="28">
        <f>IF($C70="","",SUM($E$5:$E70))</f>
        <v>1489886.97</v>
      </c>
      <c r="J70" s="29"/>
    </row>
    <row r="71" spans="1:10" x14ac:dyDescent="0.3">
      <c r="A71" s="26">
        <f>IF($C71="","",67)</f>
        <v>67</v>
      </c>
      <c r="B71" s="27">
        <f>IF($C71="","",EDATE(Loan!$B$8,67-1))</f>
        <v>47547</v>
      </c>
      <c r="C71" s="28">
        <f t="shared" si="5"/>
        <v>2785215.51</v>
      </c>
      <c r="D71" s="28">
        <f t="shared" si="3"/>
        <v>30373.81</v>
      </c>
      <c r="E71" s="28">
        <f>IF($C71="","",ROUND($C71*Loan!$B$6/12,2))</f>
        <v>19728.61</v>
      </c>
      <c r="F71" s="28">
        <f>IF($C71="","",IF(67&gt;=Loan!$B$7,$C71,MIN($C71,MAX(0,Loan!$B$14-$E71))))</f>
        <v>10645.2</v>
      </c>
      <c r="G71" s="28">
        <f>IF($C71="","",MAX(0,MIN($C71-$F71,N(Loan!$B$9)+IF(67=N(Loan!$B$11),N(Loan!$B$10),0))))</f>
        <v>0</v>
      </c>
      <c r="H71" s="28">
        <f t="shared" si="4"/>
        <v>2774570.31</v>
      </c>
      <c r="I71" s="28">
        <f>IF($C71="","",SUM($E$5:$E71))</f>
        <v>1509615.58</v>
      </c>
      <c r="J71" s="29"/>
    </row>
    <row r="72" spans="1:10" x14ac:dyDescent="0.3">
      <c r="A72" s="26">
        <f>IF($C72="","",68)</f>
        <v>68</v>
      </c>
      <c r="B72" s="27">
        <f>IF($C72="","",EDATE(Loan!$B$8,68-1))</f>
        <v>47578</v>
      </c>
      <c r="C72" s="28">
        <f t="shared" si="5"/>
        <v>2774570.31</v>
      </c>
      <c r="D72" s="28">
        <f t="shared" si="3"/>
        <v>30373.81</v>
      </c>
      <c r="E72" s="28">
        <f>IF($C72="","",ROUND($C72*Loan!$B$6/12,2))</f>
        <v>19653.21</v>
      </c>
      <c r="F72" s="28">
        <f>IF($C72="","",IF(68&gt;=Loan!$B$7,$C72,MIN($C72,MAX(0,Loan!$B$14-$E72))))</f>
        <v>10720.600000000002</v>
      </c>
      <c r="G72" s="28">
        <f>IF($C72="","",MAX(0,MIN($C72-$F72,N(Loan!$B$9)+IF(68=N(Loan!$B$11),N(Loan!$B$10),0))))</f>
        <v>0</v>
      </c>
      <c r="H72" s="28">
        <f t="shared" si="4"/>
        <v>2763849.71</v>
      </c>
      <c r="I72" s="28">
        <f>IF($C72="","",SUM($E$5:$E72))</f>
        <v>1529268.79</v>
      </c>
      <c r="J72" s="29"/>
    </row>
    <row r="73" spans="1:10" x14ac:dyDescent="0.3">
      <c r="A73" s="26">
        <f>IF($C73="","",69)</f>
        <v>69</v>
      </c>
      <c r="B73" s="27">
        <f>IF($C73="","",EDATE(Loan!$B$8,69-1))</f>
        <v>47608</v>
      </c>
      <c r="C73" s="28">
        <f t="shared" si="5"/>
        <v>2763849.71</v>
      </c>
      <c r="D73" s="28">
        <f t="shared" si="3"/>
        <v>30373.81</v>
      </c>
      <c r="E73" s="28">
        <f>IF($C73="","",ROUND($C73*Loan!$B$6/12,2))</f>
        <v>19577.27</v>
      </c>
      <c r="F73" s="28">
        <f>IF($C73="","",IF(69&gt;=Loan!$B$7,$C73,MIN($C73,MAX(0,Loan!$B$14-$E73))))</f>
        <v>10796.54</v>
      </c>
      <c r="G73" s="28">
        <f>IF($C73="","",MAX(0,MIN($C73-$F73,N(Loan!$B$9)+IF(69=N(Loan!$B$11),N(Loan!$B$10),0))))</f>
        <v>0</v>
      </c>
      <c r="H73" s="28">
        <f t="shared" si="4"/>
        <v>2753053.17</v>
      </c>
      <c r="I73" s="28">
        <f>IF($C73="","",SUM($E$5:$E73))</f>
        <v>1548846.06</v>
      </c>
      <c r="J73" s="29"/>
    </row>
    <row r="74" spans="1:10" x14ac:dyDescent="0.3">
      <c r="A74" s="26">
        <f>IF($C74="","",70)</f>
        <v>70</v>
      </c>
      <c r="B74" s="27">
        <f>IF($C74="","",EDATE(Loan!$B$8,70-1))</f>
        <v>47639</v>
      </c>
      <c r="C74" s="28">
        <f t="shared" si="5"/>
        <v>2753053.17</v>
      </c>
      <c r="D74" s="28">
        <f t="shared" si="3"/>
        <v>30373.81</v>
      </c>
      <c r="E74" s="28">
        <f>IF($C74="","",ROUND($C74*Loan!$B$6/12,2))</f>
        <v>19500.79</v>
      </c>
      <c r="F74" s="28">
        <f>IF($C74="","",IF(70&gt;=Loan!$B$7,$C74,MIN($C74,MAX(0,Loan!$B$14-$E74))))</f>
        <v>10873.02</v>
      </c>
      <c r="G74" s="28">
        <f>IF($C74="","",MAX(0,MIN($C74-$F74,N(Loan!$B$9)+IF(70=N(Loan!$B$11),N(Loan!$B$10),0))))</f>
        <v>0</v>
      </c>
      <c r="H74" s="28">
        <f t="shared" si="4"/>
        <v>2742180.15</v>
      </c>
      <c r="I74" s="28">
        <f>IF($C74="","",SUM($E$5:$E74))</f>
        <v>1568346.85</v>
      </c>
      <c r="J74" s="29"/>
    </row>
    <row r="75" spans="1:10" x14ac:dyDescent="0.3">
      <c r="A75" s="26">
        <f>IF($C75="","",71)</f>
        <v>71</v>
      </c>
      <c r="B75" s="27">
        <f>IF($C75="","",EDATE(Loan!$B$8,71-1))</f>
        <v>47669</v>
      </c>
      <c r="C75" s="28">
        <f t="shared" si="5"/>
        <v>2742180.15</v>
      </c>
      <c r="D75" s="28">
        <f t="shared" si="3"/>
        <v>30373.81</v>
      </c>
      <c r="E75" s="28">
        <f>IF($C75="","",ROUND($C75*Loan!$B$6/12,2))</f>
        <v>19423.78</v>
      </c>
      <c r="F75" s="28">
        <f>IF($C75="","",IF(71&gt;=Loan!$B$7,$C75,MIN($C75,MAX(0,Loan!$B$14-$E75))))</f>
        <v>10950.030000000002</v>
      </c>
      <c r="G75" s="28">
        <f>IF($C75="","",MAX(0,MIN($C75-$F75,N(Loan!$B$9)+IF(71=N(Loan!$B$11),N(Loan!$B$10),0))))</f>
        <v>0</v>
      </c>
      <c r="H75" s="28">
        <f t="shared" si="4"/>
        <v>2731230.12</v>
      </c>
      <c r="I75" s="28">
        <f>IF($C75="","",SUM($E$5:$E75))</f>
        <v>1587770.6300000001</v>
      </c>
      <c r="J75" s="29"/>
    </row>
    <row r="76" spans="1:10" x14ac:dyDescent="0.3">
      <c r="A76" s="26">
        <f>IF($C76="","",72)</f>
        <v>72</v>
      </c>
      <c r="B76" s="27">
        <f>IF($C76="","",EDATE(Loan!$B$8,72-1))</f>
        <v>47700</v>
      </c>
      <c r="C76" s="28">
        <f t="shared" si="5"/>
        <v>2731230.12</v>
      </c>
      <c r="D76" s="28">
        <f t="shared" si="3"/>
        <v>30373.81</v>
      </c>
      <c r="E76" s="28">
        <f>IF($C76="","",ROUND($C76*Loan!$B$6/12,2))</f>
        <v>19346.21</v>
      </c>
      <c r="F76" s="28">
        <f>IF($C76="","",IF(72&gt;=Loan!$B$7,$C76,MIN($C76,MAX(0,Loan!$B$14-$E76))))</f>
        <v>11027.600000000002</v>
      </c>
      <c r="G76" s="28">
        <f>IF($C76="","",MAX(0,MIN($C76-$F76,N(Loan!$B$9)+IF(72=N(Loan!$B$11),N(Loan!$B$10),0))))</f>
        <v>0</v>
      </c>
      <c r="H76" s="28">
        <f t="shared" si="4"/>
        <v>2720202.52</v>
      </c>
      <c r="I76" s="28">
        <f>IF($C76="","",SUM($E$5:$E76))</f>
        <v>1607116.84</v>
      </c>
      <c r="J76" s="29"/>
    </row>
    <row r="77" spans="1:10" x14ac:dyDescent="0.3">
      <c r="A77" s="26">
        <f>IF($C77="","",73)</f>
        <v>73</v>
      </c>
      <c r="B77" s="27">
        <f>IF($C77="","",EDATE(Loan!$B$8,73-1))</f>
        <v>47731</v>
      </c>
      <c r="C77" s="28">
        <f t="shared" si="5"/>
        <v>2720202.52</v>
      </c>
      <c r="D77" s="28">
        <f t="shared" si="3"/>
        <v>30373.81</v>
      </c>
      <c r="E77" s="28">
        <f>IF($C77="","",ROUND($C77*Loan!$B$6/12,2))</f>
        <v>19268.099999999999</v>
      </c>
      <c r="F77" s="28">
        <f>IF($C77="","",IF(73&gt;=Loan!$B$7,$C77,MIN($C77,MAX(0,Loan!$B$14-$E77))))</f>
        <v>11105.710000000003</v>
      </c>
      <c r="G77" s="28">
        <f>IF($C77="","",MAX(0,MIN($C77-$F77,N(Loan!$B$9)+IF(73=N(Loan!$B$11),N(Loan!$B$10),0))))</f>
        <v>0</v>
      </c>
      <c r="H77" s="28">
        <f t="shared" si="4"/>
        <v>2709096.81</v>
      </c>
      <c r="I77" s="28">
        <f>IF($C77="","",SUM($E$5:$E77))</f>
        <v>1626384.9400000002</v>
      </c>
      <c r="J77" s="29"/>
    </row>
    <row r="78" spans="1:10" x14ac:dyDescent="0.3">
      <c r="A78" s="26">
        <f>IF($C78="","",74)</f>
        <v>74</v>
      </c>
      <c r="B78" s="27">
        <f>IF($C78="","",EDATE(Loan!$B$8,74-1))</f>
        <v>47761</v>
      </c>
      <c r="C78" s="28">
        <f t="shared" si="5"/>
        <v>2709096.81</v>
      </c>
      <c r="D78" s="28">
        <f t="shared" si="3"/>
        <v>30373.81</v>
      </c>
      <c r="E78" s="28">
        <f>IF($C78="","",ROUND($C78*Loan!$B$6/12,2))</f>
        <v>19189.439999999999</v>
      </c>
      <c r="F78" s="28">
        <f>IF($C78="","",IF(74&gt;=Loan!$B$7,$C78,MIN($C78,MAX(0,Loan!$B$14-$E78))))</f>
        <v>11184.370000000003</v>
      </c>
      <c r="G78" s="28">
        <f>IF($C78="","",MAX(0,MIN($C78-$F78,N(Loan!$B$9)+IF(74=N(Loan!$B$11),N(Loan!$B$10),0))))</f>
        <v>0</v>
      </c>
      <c r="H78" s="28">
        <f t="shared" si="4"/>
        <v>2697912.44</v>
      </c>
      <c r="I78" s="28">
        <f>IF($C78="","",SUM($E$5:$E78))</f>
        <v>1645574.3800000001</v>
      </c>
      <c r="J78" s="29"/>
    </row>
    <row r="79" spans="1:10" x14ac:dyDescent="0.3">
      <c r="A79" s="26">
        <f>IF($C79="","",75)</f>
        <v>75</v>
      </c>
      <c r="B79" s="27">
        <f>IF($C79="","",EDATE(Loan!$B$8,75-1))</f>
        <v>47792</v>
      </c>
      <c r="C79" s="28">
        <f t="shared" si="5"/>
        <v>2697912.44</v>
      </c>
      <c r="D79" s="28">
        <f t="shared" si="3"/>
        <v>30373.81</v>
      </c>
      <c r="E79" s="28">
        <f>IF($C79="","",ROUND($C79*Loan!$B$6/12,2))</f>
        <v>19110.21</v>
      </c>
      <c r="F79" s="28">
        <f>IF($C79="","",IF(75&gt;=Loan!$B$7,$C79,MIN($C79,MAX(0,Loan!$B$14-$E79))))</f>
        <v>11263.600000000002</v>
      </c>
      <c r="G79" s="28">
        <f>IF($C79="","",MAX(0,MIN($C79-$F79,N(Loan!$B$9)+IF(75=N(Loan!$B$11),N(Loan!$B$10),0))))</f>
        <v>0</v>
      </c>
      <c r="H79" s="28">
        <f t="shared" si="4"/>
        <v>2686648.84</v>
      </c>
      <c r="I79" s="28">
        <f>IF($C79="","",SUM($E$5:$E79))</f>
        <v>1664684.59</v>
      </c>
      <c r="J79" s="29"/>
    </row>
    <row r="80" spans="1:10" x14ac:dyDescent="0.3">
      <c r="A80" s="26">
        <f>IF($C80="","",76)</f>
        <v>76</v>
      </c>
      <c r="B80" s="27">
        <f>IF($C80="","",EDATE(Loan!$B$8,76-1))</f>
        <v>47822</v>
      </c>
      <c r="C80" s="28">
        <f t="shared" si="5"/>
        <v>2686648.84</v>
      </c>
      <c r="D80" s="28">
        <f t="shared" si="3"/>
        <v>30373.81</v>
      </c>
      <c r="E80" s="28">
        <f>IF($C80="","",ROUND($C80*Loan!$B$6/12,2))</f>
        <v>19030.43</v>
      </c>
      <c r="F80" s="28">
        <f>IF($C80="","",IF(76&gt;=Loan!$B$7,$C80,MIN($C80,MAX(0,Loan!$B$14-$E80))))</f>
        <v>11343.380000000001</v>
      </c>
      <c r="G80" s="28">
        <f>IF($C80="","",MAX(0,MIN($C80-$F80,N(Loan!$B$9)+IF(76=N(Loan!$B$11),N(Loan!$B$10),0))))</f>
        <v>0</v>
      </c>
      <c r="H80" s="28">
        <f t="shared" si="4"/>
        <v>2675305.46</v>
      </c>
      <c r="I80" s="28">
        <f>IF($C80="","",SUM($E$5:$E80))</f>
        <v>1683715.02</v>
      </c>
      <c r="J80" s="29"/>
    </row>
    <row r="81" spans="1:10" x14ac:dyDescent="0.3">
      <c r="A81" s="26">
        <f>IF($C81="","",77)</f>
        <v>77</v>
      </c>
      <c r="B81" s="27">
        <f>IF($C81="","",EDATE(Loan!$B$8,77-1))</f>
        <v>47853</v>
      </c>
      <c r="C81" s="28">
        <f t="shared" si="5"/>
        <v>2675305.46</v>
      </c>
      <c r="D81" s="28">
        <f t="shared" si="3"/>
        <v>30373.81</v>
      </c>
      <c r="E81" s="28">
        <f>IF($C81="","",ROUND($C81*Loan!$B$6/12,2))</f>
        <v>18950.080000000002</v>
      </c>
      <c r="F81" s="28">
        <f>IF($C81="","",IF(77&gt;=Loan!$B$7,$C81,MIN($C81,MAX(0,Loan!$B$14-$E81))))</f>
        <v>11423.73</v>
      </c>
      <c r="G81" s="28">
        <f>IF($C81="","",MAX(0,MIN($C81-$F81,N(Loan!$B$9)+IF(77=N(Loan!$B$11),N(Loan!$B$10),0))))</f>
        <v>0</v>
      </c>
      <c r="H81" s="28">
        <f t="shared" si="4"/>
        <v>2663881.73</v>
      </c>
      <c r="I81" s="28">
        <f>IF($C81="","",SUM($E$5:$E81))</f>
        <v>1702665.1</v>
      </c>
      <c r="J81" s="29"/>
    </row>
    <row r="82" spans="1:10" x14ac:dyDescent="0.3">
      <c r="A82" s="26">
        <f>IF($C82="","",78)</f>
        <v>78</v>
      </c>
      <c r="B82" s="27">
        <f>IF($C82="","",EDATE(Loan!$B$8,78-1))</f>
        <v>47884</v>
      </c>
      <c r="C82" s="28">
        <f t="shared" si="5"/>
        <v>2663881.73</v>
      </c>
      <c r="D82" s="28">
        <f t="shared" si="3"/>
        <v>30373.81</v>
      </c>
      <c r="E82" s="28">
        <f>IF($C82="","",ROUND($C82*Loan!$B$6/12,2))</f>
        <v>18869.16</v>
      </c>
      <c r="F82" s="28">
        <f>IF($C82="","",IF(78&gt;=Loan!$B$7,$C82,MIN($C82,MAX(0,Loan!$B$14-$E82))))</f>
        <v>11504.650000000001</v>
      </c>
      <c r="G82" s="28">
        <f>IF($C82="","",MAX(0,MIN($C82-$F82,N(Loan!$B$9)+IF(78=N(Loan!$B$11),N(Loan!$B$10),0))))</f>
        <v>0</v>
      </c>
      <c r="H82" s="28">
        <f t="shared" si="4"/>
        <v>2652377.08</v>
      </c>
      <c r="I82" s="28">
        <f>IF($C82="","",SUM($E$5:$E82))</f>
        <v>1721534.26</v>
      </c>
      <c r="J82" s="29"/>
    </row>
    <row r="83" spans="1:10" x14ac:dyDescent="0.3">
      <c r="A83" s="26">
        <f>IF($C83="","",79)</f>
        <v>79</v>
      </c>
      <c r="B83" s="27">
        <f>IF($C83="","",EDATE(Loan!$B$8,79-1))</f>
        <v>47912</v>
      </c>
      <c r="C83" s="28">
        <f t="shared" si="5"/>
        <v>2652377.08</v>
      </c>
      <c r="D83" s="28">
        <f t="shared" si="3"/>
        <v>30373.81</v>
      </c>
      <c r="E83" s="28">
        <f>IF($C83="","",ROUND($C83*Loan!$B$6/12,2))</f>
        <v>18787.669999999998</v>
      </c>
      <c r="F83" s="28">
        <f>IF($C83="","",IF(79&gt;=Loan!$B$7,$C83,MIN($C83,MAX(0,Loan!$B$14-$E83))))</f>
        <v>11586.140000000003</v>
      </c>
      <c r="G83" s="28">
        <f>IF($C83="","",MAX(0,MIN($C83-$F83,N(Loan!$B$9)+IF(79=N(Loan!$B$11),N(Loan!$B$10),0))))</f>
        <v>0</v>
      </c>
      <c r="H83" s="28">
        <f t="shared" si="4"/>
        <v>2640790.94</v>
      </c>
      <c r="I83" s="28">
        <f>IF($C83="","",SUM($E$5:$E83))</f>
        <v>1740321.93</v>
      </c>
      <c r="J83" s="29"/>
    </row>
    <row r="84" spans="1:10" x14ac:dyDescent="0.3">
      <c r="A84" s="26">
        <f>IF($C84="","",80)</f>
        <v>80</v>
      </c>
      <c r="B84" s="27">
        <f>IF($C84="","",EDATE(Loan!$B$8,80-1))</f>
        <v>47943</v>
      </c>
      <c r="C84" s="28">
        <f t="shared" si="5"/>
        <v>2640790.94</v>
      </c>
      <c r="D84" s="28">
        <f t="shared" si="3"/>
        <v>30373.81</v>
      </c>
      <c r="E84" s="28">
        <f>IF($C84="","",ROUND($C84*Loan!$B$6/12,2))</f>
        <v>18705.599999999999</v>
      </c>
      <c r="F84" s="28">
        <f>IF($C84="","",IF(80&gt;=Loan!$B$7,$C84,MIN($C84,MAX(0,Loan!$B$14-$E84))))</f>
        <v>11668.210000000003</v>
      </c>
      <c r="G84" s="28">
        <f>IF($C84="","",MAX(0,MIN($C84-$F84,N(Loan!$B$9)+IF(80=N(Loan!$B$11),N(Loan!$B$10),0))))</f>
        <v>0</v>
      </c>
      <c r="H84" s="28">
        <f t="shared" si="4"/>
        <v>2629122.73</v>
      </c>
      <c r="I84" s="28">
        <f>IF($C84="","",SUM($E$5:$E84))</f>
        <v>1759027.53</v>
      </c>
      <c r="J84" s="29"/>
    </row>
    <row r="85" spans="1:10" x14ac:dyDescent="0.3">
      <c r="A85" s="26">
        <f>IF($C85="","",81)</f>
        <v>81</v>
      </c>
      <c r="B85" s="27">
        <f>IF($C85="","",EDATE(Loan!$B$8,81-1))</f>
        <v>47973</v>
      </c>
      <c r="C85" s="28">
        <f t="shared" si="5"/>
        <v>2629122.73</v>
      </c>
      <c r="D85" s="28">
        <f t="shared" si="3"/>
        <v>30373.81</v>
      </c>
      <c r="E85" s="28">
        <f>IF($C85="","",ROUND($C85*Loan!$B$6/12,2))</f>
        <v>18622.95</v>
      </c>
      <c r="F85" s="28">
        <f>IF($C85="","",IF(81&gt;=Loan!$B$7,$C85,MIN($C85,MAX(0,Loan!$B$14-$E85))))</f>
        <v>11750.86</v>
      </c>
      <c r="G85" s="28">
        <f>IF($C85="","",MAX(0,MIN($C85-$F85,N(Loan!$B$9)+IF(81=N(Loan!$B$11),N(Loan!$B$10),0))))</f>
        <v>0</v>
      </c>
      <c r="H85" s="28">
        <f t="shared" si="4"/>
        <v>2617371.87</v>
      </c>
      <c r="I85" s="28">
        <f>IF($C85="","",SUM($E$5:$E85))</f>
        <v>1777650.48</v>
      </c>
      <c r="J85" s="29"/>
    </row>
    <row r="86" spans="1:10" x14ac:dyDescent="0.3">
      <c r="A86" s="26">
        <f>IF($C86="","",82)</f>
        <v>82</v>
      </c>
      <c r="B86" s="27">
        <f>IF($C86="","",EDATE(Loan!$B$8,82-1))</f>
        <v>48004</v>
      </c>
      <c r="C86" s="28">
        <f t="shared" si="5"/>
        <v>2617371.87</v>
      </c>
      <c r="D86" s="28">
        <f t="shared" si="3"/>
        <v>30373.81</v>
      </c>
      <c r="E86" s="28">
        <f>IF($C86="","",ROUND($C86*Loan!$B$6/12,2))</f>
        <v>18539.72</v>
      </c>
      <c r="F86" s="28">
        <f>IF($C86="","",IF(82&gt;=Loan!$B$7,$C86,MIN($C86,MAX(0,Loan!$B$14-$E86))))</f>
        <v>11834.09</v>
      </c>
      <c r="G86" s="28">
        <f>IF($C86="","",MAX(0,MIN($C86-$F86,N(Loan!$B$9)+IF(82=N(Loan!$B$11),N(Loan!$B$10),0))))</f>
        <v>0</v>
      </c>
      <c r="H86" s="28">
        <f t="shared" si="4"/>
        <v>2605537.7799999998</v>
      </c>
      <c r="I86" s="28">
        <f>IF($C86="","",SUM($E$5:$E86))</f>
        <v>1796190.2</v>
      </c>
      <c r="J86" s="29"/>
    </row>
    <row r="87" spans="1:10" x14ac:dyDescent="0.3">
      <c r="A87" s="26">
        <f>IF($C87="","",83)</f>
        <v>83</v>
      </c>
      <c r="B87" s="27">
        <f>IF($C87="","",EDATE(Loan!$B$8,83-1))</f>
        <v>48034</v>
      </c>
      <c r="C87" s="28">
        <f t="shared" si="5"/>
        <v>2605537.7799999998</v>
      </c>
      <c r="D87" s="28">
        <f t="shared" si="3"/>
        <v>30373.81</v>
      </c>
      <c r="E87" s="28">
        <f>IF($C87="","",ROUND($C87*Loan!$B$6/12,2))</f>
        <v>18455.89</v>
      </c>
      <c r="F87" s="28">
        <f>IF($C87="","",IF(83&gt;=Loan!$B$7,$C87,MIN($C87,MAX(0,Loan!$B$14-$E87))))</f>
        <v>11917.920000000002</v>
      </c>
      <c r="G87" s="28">
        <f>IF($C87="","",MAX(0,MIN($C87-$F87,N(Loan!$B$9)+IF(83=N(Loan!$B$11),N(Loan!$B$10),0))))</f>
        <v>0</v>
      </c>
      <c r="H87" s="28">
        <f t="shared" si="4"/>
        <v>2593619.86</v>
      </c>
      <c r="I87" s="28">
        <f>IF($C87="","",SUM($E$5:$E87))</f>
        <v>1814646.0899999999</v>
      </c>
      <c r="J87" s="29"/>
    </row>
    <row r="88" spans="1:10" x14ac:dyDescent="0.3">
      <c r="A88" s="26">
        <f>IF($C88="","",84)</f>
        <v>84</v>
      </c>
      <c r="B88" s="27">
        <f>IF($C88="","",EDATE(Loan!$B$8,84-1))</f>
        <v>48065</v>
      </c>
      <c r="C88" s="28">
        <f t="shared" si="5"/>
        <v>2593619.86</v>
      </c>
      <c r="D88" s="28">
        <f t="shared" si="3"/>
        <v>30373.81</v>
      </c>
      <c r="E88" s="28">
        <f>IF($C88="","",ROUND($C88*Loan!$B$6/12,2))</f>
        <v>18371.47</v>
      </c>
      <c r="F88" s="28">
        <f>IF($C88="","",IF(84&gt;=Loan!$B$7,$C88,MIN($C88,MAX(0,Loan!$B$14-$E88))))</f>
        <v>12002.34</v>
      </c>
      <c r="G88" s="28">
        <f>IF($C88="","",MAX(0,MIN($C88-$F88,N(Loan!$B$9)+IF(84=N(Loan!$B$11),N(Loan!$B$10),0))))</f>
        <v>0</v>
      </c>
      <c r="H88" s="28">
        <f t="shared" si="4"/>
        <v>2581617.52</v>
      </c>
      <c r="I88" s="28">
        <f>IF($C88="","",SUM($E$5:$E88))</f>
        <v>1833017.5599999998</v>
      </c>
      <c r="J88" s="29"/>
    </row>
    <row r="89" spans="1:10" x14ac:dyDescent="0.3">
      <c r="A89" s="26">
        <f>IF($C89="","",85)</f>
        <v>85</v>
      </c>
      <c r="B89" s="27">
        <f>IF($C89="","",EDATE(Loan!$B$8,85-1))</f>
        <v>48096</v>
      </c>
      <c r="C89" s="28">
        <f t="shared" si="5"/>
        <v>2581617.52</v>
      </c>
      <c r="D89" s="28">
        <f t="shared" si="3"/>
        <v>30373.81</v>
      </c>
      <c r="E89" s="28">
        <f>IF($C89="","",ROUND($C89*Loan!$B$6/12,2))</f>
        <v>18286.46</v>
      </c>
      <c r="F89" s="28">
        <f>IF($C89="","",IF(85&gt;=Loan!$B$7,$C89,MIN($C89,MAX(0,Loan!$B$14-$E89))))</f>
        <v>12087.350000000002</v>
      </c>
      <c r="G89" s="28">
        <f>IF($C89="","",MAX(0,MIN($C89-$F89,N(Loan!$B$9)+IF(85=N(Loan!$B$11),N(Loan!$B$10),0))))</f>
        <v>0</v>
      </c>
      <c r="H89" s="28">
        <f t="shared" si="4"/>
        <v>2569530.17</v>
      </c>
      <c r="I89" s="28">
        <f>IF($C89="","",SUM($E$5:$E89))</f>
        <v>1851304.0199999998</v>
      </c>
      <c r="J89" s="29"/>
    </row>
    <row r="90" spans="1:10" x14ac:dyDescent="0.3">
      <c r="A90" s="26">
        <f>IF($C90="","",86)</f>
        <v>86</v>
      </c>
      <c r="B90" s="27">
        <f>IF($C90="","",EDATE(Loan!$B$8,86-1))</f>
        <v>48126</v>
      </c>
      <c r="C90" s="28">
        <f t="shared" si="5"/>
        <v>2569530.17</v>
      </c>
      <c r="D90" s="28">
        <f t="shared" si="3"/>
        <v>30373.81</v>
      </c>
      <c r="E90" s="28">
        <f>IF($C90="","",ROUND($C90*Loan!$B$6/12,2))</f>
        <v>18200.84</v>
      </c>
      <c r="F90" s="28">
        <f>IF($C90="","",IF(86&gt;=Loan!$B$7,$C90,MIN($C90,MAX(0,Loan!$B$14-$E90))))</f>
        <v>12172.970000000001</v>
      </c>
      <c r="G90" s="28">
        <f>IF($C90="","",MAX(0,MIN($C90-$F90,N(Loan!$B$9)+IF(86=N(Loan!$B$11),N(Loan!$B$10),0))))</f>
        <v>0</v>
      </c>
      <c r="H90" s="28">
        <f t="shared" si="4"/>
        <v>2557357.2000000002</v>
      </c>
      <c r="I90" s="28">
        <f>IF($C90="","",SUM($E$5:$E90))</f>
        <v>1869504.8599999999</v>
      </c>
      <c r="J90" s="29"/>
    </row>
    <row r="91" spans="1:10" x14ac:dyDescent="0.3">
      <c r="A91" s="26">
        <f>IF($C91="","",87)</f>
        <v>87</v>
      </c>
      <c r="B91" s="27">
        <f>IF($C91="","",EDATE(Loan!$B$8,87-1))</f>
        <v>48157</v>
      </c>
      <c r="C91" s="28">
        <f t="shared" si="5"/>
        <v>2557357.2000000002</v>
      </c>
      <c r="D91" s="28">
        <f t="shared" si="3"/>
        <v>30373.81</v>
      </c>
      <c r="E91" s="28">
        <f>IF($C91="","",ROUND($C91*Loan!$B$6/12,2))</f>
        <v>18114.61</v>
      </c>
      <c r="F91" s="28">
        <f>IF($C91="","",IF(87&gt;=Loan!$B$7,$C91,MIN($C91,MAX(0,Loan!$B$14-$E91))))</f>
        <v>12259.2</v>
      </c>
      <c r="G91" s="28">
        <f>IF($C91="","",MAX(0,MIN($C91-$F91,N(Loan!$B$9)+IF(87=N(Loan!$B$11),N(Loan!$B$10),0))))</f>
        <v>0</v>
      </c>
      <c r="H91" s="28">
        <f t="shared" si="4"/>
        <v>2545098</v>
      </c>
      <c r="I91" s="28">
        <f>IF($C91="","",SUM($E$5:$E91))</f>
        <v>1887619.47</v>
      </c>
      <c r="J91" s="29"/>
    </row>
    <row r="92" spans="1:10" x14ac:dyDescent="0.3">
      <c r="A92" s="26">
        <f>IF($C92="","",88)</f>
        <v>88</v>
      </c>
      <c r="B92" s="27">
        <f>IF($C92="","",EDATE(Loan!$B$8,88-1))</f>
        <v>48187</v>
      </c>
      <c r="C92" s="28">
        <f t="shared" si="5"/>
        <v>2545098</v>
      </c>
      <c r="D92" s="28">
        <f t="shared" si="3"/>
        <v>30373.81</v>
      </c>
      <c r="E92" s="28">
        <f>IF($C92="","",ROUND($C92*Loan!$B$6/12,2))</f>
        <v>18027.78</v>
      </c>
      <c r="F92" s="28">
        <f>IF($C92="","",IF(88&gt;=Loan!$B$7,$C92,MIN($C92,MAX(0,Loan!$B$14-$E92))))</f>
        <v>12346.030000000002</v>
      </c>
      <c r="G92" s="28">
        <f>IF($C92="","",MAX(0,MIN($C92-$F92,N(Loan!$B$9)+IF(88=N(Loan!$B$11),N(Loan!$B$10),0))))</f>
        <v>0</v>
      </c>
      <c r="H92" s="28">
        <f t="shared" si="4"/>
        <v>2532751.9700000002</v>
      </c>
      <c r="I92" s="28">
        <f>IF($C92="","",SUM($E$5:$E92))</f>
        <v>1905647.25</v>
      </c>
      <c r="J92" s="29"/>
    </row>
    <row r="93" spans="1:10" x14ac:dyDescent="0.3">
      <c r="A93" s="26">
        <f>IF($C93="","",89)</f>
        <v>89</v>
      </c>
      <c r="B93" s="27">
        <f>IF($C93="","",EDATE(Loan!$B$8,89-1))</f>
        <v>48218</v>
      </c>
      <c r="C93" s="28">
        <f t="shared" si="5"/>
        <v>2532751.9700000002</v>
      </c>
      <c r="D93" s="28">
        <f t="shared" si="3"/>
        <v>30373.81</v>
      </c>
      <c r="E93" s="28">
        <f>IF($C93="","",ROUND($C93*Loan!$B$6/12,2))</f>
        <v>17940.330000000002</v>
      </c>
      <c r="F93" s="28">
        <f>IF($C93="","",IF(89&gt;=Loan!$B$7,$C93,MIN($C93,MAX(0,Loan!$B$14-$E93))))</f>
        <v>12433.48</v>
      </c>
      <c r="G93" s="28">
        <f>IF($C93="","",MAX(0,MIN($C93-$F93,N(Loan!$B$9)+IF(89=N(Loan!$B$11),N(Loan!$B$10),0))))</f>
        <v>0</v>
      </c>
      <c r="H93" s="28">
        <f t="shared" si="4"/>
        <v>2520318.4900000002</v>
      </c>
      <c r="I93" s="28">
        <f>IF($C93="","",SUM($E$5:$E93))</f>
        <v>1923587.58</v>
      </c>
      <c r="J93" s="29"/>
    </row>
    <row r="94" spans="1:10" x14ac:dyDescent="0.3">
      <c r="A94" s="26">
        <f>IF($C94="","",90)</f>
        <v>90</v>
      </c>
      <c r="B94" s="27">
        <f>IF($C94="","",EDATE(Loan!$B$8,90-1))</f>
        <v>48249</v>
      </c>
      <c r="C94" s="28">
        <f t="shared" si="5"/>
        <v>2520318.4900000002</v>
      </c>
      <c r="D94" s="28">
        <f t="shared" si="3"/>
        <v>30373.81</v>
      </c>
      <c r="E94" s="28">
        <f>IF($C94="","",ROUND($C94*Loan!$B$6/12,2))</f>
        <v>17852.259999999998</v>
      </c>
      <c r="F94" s="28">
        <f>IF($C94="","",IF(90&gt;=Loan!$B$7,$C94,MIN($C94,MAX(0,Loan!$B$14-$E94))))</f>
        <v>12521.550000000003</v>
      </c>
      <c r="G94" s="28">
        <f>IF($C94="","",MAX(0,MIN($C94-$F94,N(Loan!$B$9)+IF(90=N(Loan!$B$11),N(Loan!$B$10),0))))</f>
        <v>0</v>
      </c>
      <c r="H94" s="28">
        <f t="shared" si="4"/>
        <v>2507796.94</v>
      </c>
      <c r="I94" s="28">
        <f>IF($C94="","",SUM($E$5:$E94))</f>
        <v>1941439.84</v>
      </c>
      <c r="J94" s="29"/>
    </row>
    <row r="95" spans="1:10" x14ac:dyDescent="0.3">
      <c r="A95" s="26">
        <f>IF($C95="","",91)</f>
        <v>91</v>
      </c>
      <c r="B95" s="27">
        <f>IF($C95="","",EDATE(Loan!$B$8,91-1))</f>
        <v>48278</v>
      </c>
      <c r="C95" s="28">
        <f t="shared" si="5"/>
        <v>2507796.94</v>
      </c>
      <c r="D95" s="28">
        <f t="shared" si="3"/>
        <v>30373.81</v>
      </c>
      <c r="E95" s="28">
        <f>IF($C95="","",ROUND($C95*Loan!$B$6/12,2))</f>
        <v>17763.560000000001</v>
      </c>
      <c r="F95" s="28">
        <f>IF($C95="","",IF(91&gt;=Loan!$B$7,$C95,MIN($C95,MAX(0,Loan!$B$14-$E95))))</f>
        <v>12610.25</v>
      </c>
      <c r="G95" s="28">
        <f>IF($C95="","",MAX(0,MIN($C95-$F95,N(Loan!$B$9)+IF(91=N(Loan!$B$11),N(Loan!$B$10),0))))</f>
        <v>0</v>
      </c>
      <c r="H95" s="28">
        <f t="shared" si="4"/>
        <v>2495186.69</v>
      </c>
      <c r="I95" s="28">
        <f>IF($C95="","",SUM($E$5:$E95))</f>
        <v>1959203.4000000001</v>
      </c>
      <c r="J95" s="29"/>
    </row>
    <row r="96" spans="1:10" x14ac:dyDescent="0.3">
      <c r="A96" s="26">
        <f>IF($C96="","",92)</f>
        <v>92</v>
      </c>
      <c r="B96" s="27">
        <f>IF($C96="","",EDATE(Loan!$B$8,92-1))</f>
        <v>48309</v>
      </c>
      <c r="C96" s="28">
        <f t="shared" si="5"/>
        <v>2495186.69</v>
      </c>
      <c r="D96" s="28">
        <f t="shared" si="3"/>
        <v>30373.81</v>
      </c>
      <c r="E96" s="28">
        <f>IF($C96="","",ROUND($C96*Loan!$B$6/12,2))</f>
        <v>17674.240000000002</v>
      </c>
      <c r="F96" s="28">
        <f>IF($C96="","",IF(92&gt;=Loan!$B$7,$C96,MIN($C96,MAX(0,Loan!$B$14-$E96))))</f>
        <v>12699.57</v>
      </c>
      <c r="G96" s="28">
        <f>IF($C96="","",MAX(0,MIN($C96-$F96,N(Loan!$B$9)+IF(92=N(Loan!$B$11),N(Loan!$B$10),0))))</f>
        <v>0</v>
      </c>
      <c r="H96" s="28">
        <f t="shared" si="4"/>
        <v>2482487.12</v>
      </c>
      <c r="I96" s="28">
        <f>IF($C96="","",SUM($E$5:$E96))</f>
        <v>1976877.6400000001</v>
      </c>
      <c r="J96" s="29"/>
    </row>
    <row r="97" spans="1:10" x14ac:dyDescent="0.3">
      <c r="A97" s="26">
        <f>IF($C97="","",93)</f>
        <v>93</v>
      </c>
      <c r="B97" s="27">
        <f>IF($C97="","",EDATE(Loan!$B$8,93-1))</f>
        <v>48339</v>
      </c>
      <c r="C97" s="28">
        <f t="shared" si="5"/>
        <v>2482487.12</v>
      </c>
      <c r="D97" s="28">
        <f t="shared" si="3"/>
        <v>30373.81</v>
      </c>
      <c r="E97" s="28">
        <f>IF($C97="","",ROUND($C97*Loan!$B$6/12,2))</f>
        <v>17584.28</v>
      </c>
      <c r="F97" s="28">
        <f>IF($C97="","",IF(93&gt;=Loan!$B$7,$C97,MIN($C97,MAX(0,Loan!$B$14-$E97))))</f>
        <v>12789.530000000002</v>
      </c>
      <c r="G97" s="28">
        <f>IF($C97="","",MAX(0,MIN($C97-$F97,N(Loan!$B$9)+IF(93=N(Loan!$B$11),N(Loan!$B$10),0))))</f>
        <v>0</v>
      </c>
      <c r="H97" s="28">
        <f t="shared" si="4"/>
        <v>2469697.59</v>
      </c>
      <c r="I97" s="28">
        <f>IF($C97="","",SUM($E$5:$E97))</f>
        <v>1994461.9200000002</v>
      </c>
      <c r="J97" s="29"/>
    </row>
    <row r="98" spans="1:10" x14ac:dyDescent="0.3">
      <c r="A98" s="26">
        <f>IF($C98="","",94)</f>
        <v>94</v>
      </c>
      <c r="B98" s="27">
        <f>IF($C98="","",EDATE(Loan!$B$8,94-1))</f>
        <v>48370</v>
      </c>
      <c r="C98" s="28">
        <f t="shared" si="5"/>
        <v>2469697.59</v>
      </c>
      <c r="D98" s="28">
        <f t="shared" si="3"/>
        <v>30373.81</v>
      </c>
      <c r="E98" s="28">
        <f>IF($C98="","",ROUND($C98*Loan!$B$6/12,2))</f>
        <v>17493.689999999999</v>
      </c>
      <c r="F98" s="28">
        <f>IF($C98="","",IF(94&gt;=Loan!$B$7,$C98,MIN($C98,MAX(0,Loan!$B$14-$E98))))</f>
        <v>12880.120000000003</v>
      </c>
      <c r="G98" s="28">
        <f>IF($C98="","",MAX(0,MIN($C98-$F98,N(Loan!$B$9)+IF(94=N(Loan!$B$11),N(Loan!$B$10),0))))</f>
        <v>0</v>
      </c>
      <c r="H98" s="28">
        <f t="shared" si="4"/>
        <v>2456817.4700000002</v>
      </c>
      <c r="I98" s="28">
        <f>IF($C98="","",SUM($E$5:$E98))</f>
        <v>2011955.61</v>
      </c>
      <c r="J98" s="29"/>
    </row>
    <row r="99" spans="1:10" x14ac:dyDescent="0.3">
      <c r="A99" s="26">
        <f>IF($C99="","",95)</f>
        <v>95</v>
      </c>
      <c r="B99" s="27">
        <f>IF($C99="","",EDATE(Loan!$B$8,95-1))</f>
        <v>48400</v>
      </c>
      <c r="C99" s="28">
        <f t="shared" si="5"/>
        <v>2456817.4700000002</v>
      </c>
      <c r="D99" s="28">
        <f t="shared" si="3"/>
        <v>30373.81</v>
      </c>
      <c r="E99" s="28">
        <f>IF($C99="","",ROUND($C99*Loan!$B$6/12,2))</f>
        <v>17402.46</v>
      </c>
      <c r="F99" s="28">
        <f>IF($C99="","",IF(95&gt;=Loan!$B$7,$C99,MIN($C99,MAX(0,Loan!$B$14-$E99))))</f>
        <v>12971.350000000002</v>
      </c>
      <c r="G99" s="28">
        <f>IF($C99="","",MAX(0,MIN($C99-$F99,N(Loan!$B$9)+IF(95=N(Loan!$B$11),N(Loan!$B$10),0))))</f>
        <v>0</v>
      </c>
      <c r="H99" s="28">
        <f t="shared" si="4"/>
        <v>2443846.12</v>
      </c>
      <c r="I99" s="28">
        <f>IF($C99="","",SUM($E$5:$E99))</f>
        <v>2029358.07</v>
      </c>
      <c r="J99" s="29"/>
    </row>
    <row r="100" spans="1:10" x14ac:dyDescent="0.3">
      <c r="A100" s="26">
        <f>IF($C100="","",96)</f>
        <v>96</v>
      </c>
      <c r="B100" s="27">
        <f>IF($C100="","",EDATE(Loan!$B$8,96-1))</f>
        <v>48431</v>
      </c>
      <c r="C100" s="28">
        <f t="shared" si="5"/>
        <v>2443846.12</v>
      </c>
      <c r="D100" s="28">
        <f t="shared" si="3"/>
        <v>30373.81</v>
      </c>
      <c r="E100" s="28">
        <f>IF($C100="","",ROUND($C100*Loan!$B$6/12,2))</f>
        <v>17310.580000000002</v>
      </c>
      <c r="F100" s="28">
        <f>IF($C100="","",IF(96&gt;=Loan!$B$7,$C100,MIN($C100,MAX(0,Loan!$B$14-$E100))))</f>
        <v>13063.23</v>
      </c>
      <c r="G100" s="28">
        <f>IF($C100="","",MAX(0,MIN($C100-$F100,N(Loan!$B$9)+IF(96=N(Loan!$B$11),N(Loan!$B$10),0))))</f>
        <v>0</v>
      </c>
      <c r="H100" s="28">
        <f t="shared" si="4"/>
        <v>2430782.89</v>
      </c>
      <c r="I100" s="28">
        <f>IF($C100="","",SUM($E$5:$E100))</f>
        <v>2046668.6500000001</v>
      </c>
      <c r="J100" s="29"/>
    </row>
    <row r="101" spans="1:10" x14ac:dyDescent="0.3">
      <c r="A101" s="26">
        <f>IF($C101="","",97)</f>
        <v>97</v>
      </c>
      <c r="B101" s="27">
        <f>IF($C101="","",EDATE(Loan!$B$8,97-1))</f>
        <v>48462</v>
      </c>
      <c r="C101" s="28">
        <f t="shared" si="5"/>
        <v>2430782.89</v>
      </c>
      <c r="D101" s="28">
        <f t="shared" si="3"/>
        <v>30373.81</v>
      </c>
      <c r="E101" s="28">
        <f>IF($C101="","",ROUND($C101*Loan!$B$6/12,2))</f>
        <v>17218.05</v>
      </c>
      <c r="F101" s="28">
        <f>IF($C101="","",IF(97&gt;=Loan!$B$7,$C101,MIN($C101,MAX(0,Loan!$B$14-$E101))))</f>
        <v>13155.760000000002</v>
      </c>
      <c r="G101" s="28">
        <f>IF($C101="","",MAX(0,MIN($C101-$F101,N(Loan!$B$9)+IF(97=N(Loan!$B$11),N(Loan!$B$10),0))))</f>
        <v>0</v>
      </c>
      <c r="H101" s="28">
        <f t="shared" si="4"/>
        <v>2417627.13</v>
      </c>
      <c r="I101" s="28">
        <f>IF($C101="","",SUM($E$5:$E101))</f>
        <v>2063886.7000000002</v>
      </c>
      <c r="J101" s="29"/>
    </row>
    <row r="102" spans="1:10" x14ac:dyDescent="0.3">
      <c r="A102" s="26">
        <f>IF($C102="","",98)</f>
        <v>98</v>
      </c>
      <c r="B102" s="27">
        <f>IF($C102="","",EDATE(Loan!$B$8,98-1))</f>
        <v>48492</v>
      </c>
      <c r="C102" s="28">
        <f t="shared" si="5"/>
        <v>2417627.13</v>
      </c>
      <c r="D102" s="28">
        <f t="shared" si="3"/>
        <v>30373.81</v>
      </c>
      <c r="E102" s="28">
        <f>IF($C102="","",ROUND($C102*Loan!$B$6/12,2))</f>
        <v>17124.86</v>
      </c>
      <c r="F102" s="28">
        <f>IF($C102="","",IF(98&gt;=Loan!$B$7,$C102,MIN($C102,MAX(0,Loan!$B$14-$E102))))</f>
        <v>13248.95</v>
      </c>
      <c r="G102" s="28">
        <f>IF($C102="","",MAX(0,MIN($C102-$F102,N(Loan!$B$9)+IF(98=N(Loan!$B$11),N(Loan!$B$10),0))))</f>
        <v>0</v>
      </c>
      <c r="H102" s="28">
        <f t="shared" si="4"/>
        <v>2404378.1800000002</v>
      </c>
      <c r="I102" s="28">
        <f>IF($C102="","",SUM($E$5:$E102))</f>
        <v>2081011.5600000003</v>
      </c>
      <c r="J102" s="29"/>
    </row>
    <row r="103" spans="1:10" x14ac:dyDescent="0.3">
      <c r="A103" s="26">
        <f>IF($C103="","",99)</f>
        <v>99</v>
      </c>
      <c r="B103" s="27">
        <f>IF($C103="","",EDATE(Loan!$B$8,99-1))</f>
        <v>48523</v>
      </c>
      <c r="C103" s="28">
        <f t="shared" si="5"/>
        <v>2404378.1800000002</v>
      </c>
      <c r="D103" s="28">
        <f t="shared" si="3"/>
        <v>30373.81</v>
      </c>
      <c r="E103" s="28">
        <f>IF($C103="","",ROUND($C103*Loan!$B$6/12,2))</f>
        <v>17031.009999999998</v>
      </c>
      <c r="F103" s="28">
        <f>IF($C103="","",IF(99&gt;=Loan!$B$7,$C103,MIN($C103,MAX(0,Loan!$B$14-$E103))))</f>
        <v>13342.800000000003</v>
      </c>
      <c r="G103" s="28">
        <f>IF($C103="","",MAX(0,MIN($C103-$F103,N(Loan!$B$9)+IF(99=N(Loan!$B$11),N(Loan!$B$10),0))))</f>
        <v>0</v>
      </c>
      <c r="H103" s="28">
        <f t="shared" si="4"/>
        <v>2391035.38</v>
      </c>
      <c r="I103" s="28">
        <f>IF($C103="","",SUM($E$5:$E103))</f>
        <v>2098042.5700000003</v>
      </c>
      <c r="J103" s="29"/>
    </row>
    <row r="104" spans="1:10" x14ac:dyDescent="0.3">
      <c r="A104" s="26">
        <f>IF($C104="","",100)</f>
        <v>100</v>
      </c>
      <c r="B104" s="27">
        <f>IF($C104="","",EDATE(Loan!$B$8,100-1))</f>
        <v>48553</v>
      </c>
      <c r="C104" s="28">
        <f t="shared" si="5"/>
        <v>2391035.38</v>
      </c>
      <c r="D104" s="28">
        <f t="shared" si="3"/>
        <v>30373.81</v>
      </c>
      <c r="E104" s="28">
        <f>IF($C104="","",ROUND($C104*Loan!$B$6/12,2))</f>
        <v>16936.5</v>
      </c>
      <c r="F104" s="28">
        <f>IF($C104="","",IF(100&gt;=Loan!$B$7,$C104,MIN($C104,MAX(0,Loan!$B$14-$E104))))</f>
        <v>13437.310000000001</v>
      </c>
      <c r="G104" s="28">
        <f>IF($C104="","",MAX(0,MIN($C104-$F104,N(Loan!$B$9)+IF(100=N(Loan!$B$11),N(Loan!$B$10),0))))</f>
        <v>0</v>
      </c>
      <c r="H104" s="28">
        <f t="shared" si="4"/>
        <v>2377598.0699999998</v>
      </c>
      <c r="I104" s="28">
        <f>IF($C104="","",SUM($E$5:$E104))</f>
        <v>2114979.0700000003</v>
      </c>
      <c r="J104" s="29"/>
    </row>
    <row r="105" spans="1:10" x14ac:dyDescent="0.3">
      <c r="A105" s="26">
        <f>IF($C105="","",101)</f>
        <v>101</v>
      </c>
      <c r="B105" s="27">
        <f>IF($C105="","",EDATE(Loan!$B$8,101-1))</f>
        <v>48584</v>
      </c>
      <c r="C105" s="28">
        <f t="shared" si="5"/>
        <v>2377598.0699999998</v>
      </c>
      <c r="D105" s="28">
        <f t="shared" si="3"/>
        <v>30373.81</v>
      </c>
      <c r="E105" s="28">
        <f>IF($C105="","",ROUND($C105*Loan!$B$6/12,2))</f>
        <v>16841.32</v>
      </c>
      <c r="F105" s="28">
        <f>IF($C105="","",IF(101&gt;=Loan!$B$7,$C105,MIN($C105,MAX(0,Loan!$B$14-$E105))))</f>
        <v>13532.490000000002</v>
      </c>
      <c r="G105" s="28">
        <f>IF($C105="","",MAX(0,MIN($C105-$F105,N(Loan!$B$9)+IF(101=N(Loan!$B$11),N(Loan!$B$10),0))))</f>
        <v>0</v>
      </c>
      <c r="H105" s="28">
        <f t="shared" si="4"/>
        <v>2364065.58</v>
      </c>
      <c r="I105" s="28">
        <f>IF($C105="","",SUM($E$5:$E105))</f>
        <v>2131820.39</v>
      </c>
      <c r="J105" s="29"/>
    </row>
    <row r="106" spans="1:10" x14ac:dyDescent="0.3">
      <c r="A106" s="26">
        <f>IF($C106="","",102)</f>
        <v>102</v>
      </c>
      <c r="B106" s="27">
        <f>IF($C106="","",EDATE(Loan!$B$8,102-1))</f>
        <v>48615</v>
      </c>
      <c r="C106" s="28">
        <f t="shared" si="5"/>
        <v>2364065.58</v>
      </c>
      <c r="D106" s="28">
        <f t="shared" si="3"/>
        <v>30373.81</v>
      </c>
      <c r="E106" s="28">
        <f>IF($C106="","",ROUND($C106*Loan!$B$6/12,2))</f>
        <v>16745.46</v>
      </c>
      <c r="F106" s="28">
        <f>IF($C106="","",IF(102&gt;=Loan!$B$7,$C106,MIN($C106,MAX(0,Loan!$B$14-$E106))))</f>
        <v>13628.350000000002</v>
      </c>
      <c r="G106" s="28">
        <f>IF($C106="","",MAX(0,MIN($C106-$F106,N(Loan!$B$9)+IF(102=N(Loan!$B$11),N(Loan!$B$10),0))))</f>
        <v>0</v>
      </c>
      <c r="H106" s="28">
        <f t="shared" si="4"/>
        <v>2350437.23</v>
      </c>
      <c r="I106" s="28">
        <f>IF($C106="","",SUM($E$5:$E106))</f>
        <v>2148565.85</v>
      </c>
      <c r="J106" s="29"/>
    </row>
    <row r="107" spans="1:10" x14ac:dyDescent="0.3">
      <c r="A107" s="26">
        <f>IF($C107="","",103)</f>
        <v>103</v>
      </c>
      <c r="B107" s="27">
        <f>IF($C107="","",EDATE(Loan!$B$8,103-1))</f>
        <v>48643</v>
      </c>
      <c r="C107" s="28">
        <f t="shared" si="5"/>
        <v>2350437.23</v>
      </c>
      <c r="D107" s="28">
        <f t="shared" si="3"/>
        <v>30373.81</v>
      </c>
      <c r="E107" s="28">
        <f>IF($C107="","",ROUND($C107*Loan!$B$6/12,2))</f>
        <v>16648.93</v>
      </c>
      <c r="F107" s="28">
        <f>IF($C107="","",IF(103&gt;=Loan!$B$7,$C107,MIN($C107,MAX(0,Loan!$B$14-$E107))))</f>
        <v>13724.880000000001</v>
      </c>
      <c r="G107" s="28">
        <f>IF($C107="","",MAX(0,MIN($C107-$F107,N(Loan!$B$9)+IF(103=N(Loan!$B$11),N(Loan!$B$10),0))))</f>
        <v>0</v>
      </c>
      <c r="H107" s="28">
        <f t="shared" si="4"/>
        <v>2336712.35</v>
      </c>
      <c r="I107" s="28">
        <f>IF($C107="","",SUM($E$5:$E107))</f>
        <v>2165214.7800000003</v>
      </c>
      <c r="J107" s="29"/>
    </row>
    <row r="108" spans="1:10" x14ac:dyDescent="0.3">
      <c r="A108" s="26">
        <f>IF($C108="","",104)</f>
        <v>104</v>
      </c>
      <c r="B108" s="27">
        <f>IF($C108="","",EDATE(Loan!$B$8,104-1))</f>
        <v>48674</v>
      </c>
      <c r="C108" s="28">
        <f t="shared" si="5"/>
        <v>2336712.35</v>
      </c>
      <c r="D108" s="28">
        <f t="shared" si="3"/>
        <v>30373.81</v>
      </c>
      <c r="E108" s="28">
        <f>IF($C108="","",ROUND($C108*Loan!$B$6/12,2))</f>
        <v>16551.71</v>
      </c>
      <c r="F108" s="28">
        <f>IF($C108="","",IF(104&gt;=Loan!$B$7,$C108,MIN($C108,MAX(0,Loan!$B$14-$E108))))</f>
        <v>13822.100000000002</v>
      </c>
      <c r="G108" s="28">
        <f>IF($C108="","",MAX(0,MIN($C108-$F108,N(Loan!$B$9)+IF(104=N(Loan!$B$11),N(Loan!$B$10),0))))</f>
        <v>0</v>
      </c>
      <c r="H108" s="28">
        <f t="shared" si="4"/>
        <v>2322890.25</v>
      </c>
      <c r="I108" s="28">
        <f>IF($C108="","",SUM($E$5:$E108))</f>
        <v>2181766.4900000002</v>
      </c>
      <c r="J108" s="29"/>
    </row>
    <row r="109" spans="1:10" x14ac:dyDescent="0.3">
      <c r="A109" s="26">
        <f>IF($C109="","",105)</f>
        <v>105</v>
      </c>
      <c r="B109" s="27">
        <f>IF($C109="","",EDATE(Loan!$B$8,105-1))</f>
        <v>48704</v>
      </c>
      <c r="C109" s="28">
        <f t="shared" si="5"/>
        <v>2322890.25</v>
      </c>
      <c r="D109" s="28">
        <f t="shared" si="3"/>
        <v>30373.81</v>
      </c>
      <c r="E109" s="28">
        <f>IF($C109="","",ROUND($C109*Loan!$B$6/12,2))</f>
        <v>16453.810000000001</v>
      </c>
      <c r="F109" s="28">
        <f>IF($C109="","",IF(105&gt;=Loan!$B$7,$C109,MIN($C109,MAX(0,Loan!$B$14-$E109))))</f>
        <v>13920</v>
      </c>
      <c r="G109" s="28">
        <f>IF($C109="","",MAX(0,MIN($C109-$F109,N(Loan!$B$9)+IF(105=N(Loan!$B$11),N(Loan!$B$10),0))))</f>
        <v>0</v>
      </c>
      <c r="H109" s="28">
        <f t="shared" si="4"/>
        <v>2308970.25</v>
      </c>
      <c r="I109" s="28">
        <f>IF($C109="","",SUM($E$5:$E109))</f>
        <v>2198220.3000000003</v>
      </c>
      <c r="J109" s="29"/>
    </row>
    <row r="110" spans="1:10" x14ac:dyDescent="0.3">
      <c r="A110" s="26">
        <f>IF($C110="","",106)</f>
        <v>106</v>
      </c>
      <c r="B110" s="27">
        <f>IF($C110="","",EDATE(Loan!$B$8,106-1))</f>
        <v>48735</v>
      </c>
      <c r="C110" s="28">
        <f t="shared" si="5"/>
        <v>2308970.25</v>
      </c>
      <c r="D110" s="28">
        <f t="shared" si="3"/>
        <v>30373.81</v>
      </c>
      <c r="E110" s="28">
        <f>IF($C110="","",ROUND($C110*Loan!$B$6/12,2))</f>
        <v>16355.21</v>
      </c>
      <c r="F110" s="28">
        <f>IF($C110="","",IF(106&gt;=Loan!$B$7,$C110,MIN($C110,MAX(0,Loan!$B$14-$E110))))</f>
        <v>14018.600000000002</v>
      </c>
      <c r="G110" s="28">
        <f>IF($C110="","",MAX(0,MIN($C110-$F110,N(Loan!$B$9)+IF(106=N(Loan!$B$11),N(Loan!$B$10),0))))</f>
        <v>0</v>
      </c>
      <c r="H110" s="28">
        <f t="shared" si="4"/>
        <v>2294951.65</v>
      </c>
      <c r="I110" s="28">
        <f>IF($C110="","",SUM($E$5:$E110))</f>
        <v>2214575.5100000002</v>
      </c>
      <c r="J110" s="29"/>
    </row>
    <row r="111" spans="1:10" x14ac:dyDescent="0.3">
      <c r="A111" s="26">
        <f>IF($C111="","",107)</f>
        <v>107</v>
      </c>
      <c r="B111" s="27">
        <f>IF($C111="","",EDATE(Loan!$B$8,107-1))</f>
        <v>48765</v>
      </c>
      <c r="C111" s="28">
        <f t="shared" si="5"/>
        <v>2294951.65</v>
      </c>
      <c r="D111" s="28">
        <f t="shared" si="3"/>
        <v>30373.81</v>
      </c>
      <c r="E111" s="28">
        <f>IF($C111="","",ROUND($C111*Loan!$B$6/12,2))</f>
        <v>16255.91</v>
      </c>
      <c r="F111" s="28">
        <f>IF($C111="","",IF(107&gt;=Loan!$B$7,$C111,MIN($C111,MAX(0,Loan!$B$14-$E111))))</f>
        <v>14117.900000000001</v>
      </c>
      <c r="G111" s="28">
        <f>IF($C111="","",MAX(0,MIN($C111-$F111,N(Loan!$B$9)+IF(107=N(Loan!$B$11),N(Loan!$B$10),0))))</f>
        <v>0</v>
      </c>
      <c r="H111" s="28">
        <f t="shared" si="4"/>
        <v>2280833.75</v>
      </c>
      <c r="I111" s="28">
        <f>IF($C111="","",SUM($E$5:$E111))</f>
        <v>2230831.4200000004</v>
      </c>
      <c r="J111" s="29"/>
    </row>
    <row r="112" spans="1:10" x14ac:dyDescent="0.3">
      <c r="A112" s="26">
        <f>IF($C112="","",108)</f>
        <v>108</v>
      </c>
      <c r="B112" s="27">
        <f>IF($C112="","",EDATE(Loan!$B$8,108-1))</f>
        <v>48796</v>
      </c>
      <c r="C112" s="28">
        <f t="shared" si="5"/>
        <v>2280833.75</v>
      </c>
      <c r="D112" s="28">
        <f t="shared" si="3"/>
        <v>30373.81</v>
      </c>
      <c r="E112" s="28">
        <f>IF($C112="","",ROUND($C112*Loan!$B$6/12,2))</f>
        <v>16155.91</v>
      </c>
      <c r="F112" s="28">
        <f>IF($C112="","",IF(108&gt;=Loan!$B$7,$C112,MIN($C112,MAX(0,Loan!$B$14-$E112))))</f>
        <v>14217.900000000001</v>
      </c>
      <c r="G112" s="28">
        <f>IF($C112="","",MAX(0,MIN($C112-$F112,N(Loan!$B$9)+IF(108=N(Loan!$B$11),N(Loan!$B$10),0))))</f>
        <v>0</v>
      </c>
      <c r="H112" s="28">
        <f t="shared" si="4"/>
        <v>2266615.85</v>
      </c>
      <c r="I112" s="28">
        <f>IF($C112="","",SUM($E$5:$E112))</f>
        <v>2246987.3300000005</v>
      </c>
      <c r="J112" s="29"/>
    </row>
    <row r="113" spans="1:10" x14ac:dyDescent="0.3">
      <c r="A113" s="26">
        <f>IF($C113="","",109)</f>
        <v>109</v>
      </c>
      <c r="B113" s="27">
        <f>IF($C113="","",EDATE(Loan!$B$8,109-1))</f>
        <v>48827</v>
      </c>
      <c r="C113" s="28">
        <f t="shared" si="5"/>
        <v>2266615.85</v>
      </c>
      <c r="D113" s="28">
        <f t="shared" si="3"/>
        <v>30373.81</v>
      </c>
      <c r="E113" s="28">
        <f>IF($C113="","",ROUND($C113*Loan!$B$6/12,2))</f>
        <v>16055.2</v>
      </c>
      <c r="F113" s="28">
        <f>IF($C113="","",IF(109&gt;=Loan!$B$7,$C113,MIN($C113,MAX(0,Loan!$B$14-$E113))))</f>
        <v>14318.61</v>
      </c>
      <c r="G113" s="28">
        <f>IF($C113="","",MAX(0,MIN($C113-$F113,N(Loan!$B$9)+IF(109=N(Loan!$B$11),N(Loan!$B$10),0))))</f>
        <v>0</v>
      </c>
      <c r="H113" s="28">
        <f t="shared" si="4"/>
        <v>2252297.2400000002</v>
      </c>
      <c r="I113" s="28">
        <f>IF($C113="","",SUM($E$5:$E113))</f>
        <v>2263042.5300000007</v>
      </c>
      <c r="J113" s="29"/>
    </row>
    <row r="114" spans="1:10" x14ac:dyDescent="0.3">
      <c r="A114" s="26">
        <f>IF($C114="","",110)</f>
        <v>110</v>
      </c>
      <c r="B114" s="27">
        <f>IF($C114="","",EDATE(Loan!$B$8,110-1))</f>
        <v>48857</v>
      </c>
      <c r="C114" s="28">
        <f t="shared" si="5"/>
        <v>2252297.2400000002</v>
      </c>
      <c r="D114" s="28">
        <f t="shared" si="3"/>
        <v>30373.81</v>
      </c>
      <c r="E114" s="28">
        <f>IF($C114="","",ROUND($C114*Loan!$B$6/12,2))</f>
        <v>15953.77</v>
      </c>
      <c r="F114" s="28">
        <f>IF($C114="","",IF(110&gt;=Loan!$B$7,$C114,MIN($C114,MAX(0,Loan!$B$14-$E114))))</f>
        <v>14420.04</v>
      </c>
      <c r="G114" s="28">
        <f>IF($C114="","",MAX(0,MIN($C114-$F114,N(Loan!$B$9)+IF(110=N(Loan!$B$11),N(Loan!$B$10),0))))</f>
        <v>0</v>
      </c>
      <c r="H114" s="28">
        <f t="shared" si="4"/>
        <v>2237877.2000000002</v>
      </c>
      <c r="I114" s="28">
        <f>IF($C114="","",SUM($E$5:$E114))</f>
        <v>2278996.3000000007</v>
      </c>
      <c r="J114" s="29"/>
    </row>
    <row r="115" spans="1:10" x14ac:dyDescent="0.3">
      <c r="A115" s="26">
        <f>IF($C115="","",111)</f>
        <v>111</v>
      </c>
      <c r="B115" s="27">
        <f>IF($C115="","",EDATE(Loan!$B$8,111-1))</f>
        <v>48888</v>
      </c>
      <c r="C115" s="28">
        <f t="shared" si="5"/>
        <v>2237877.2000000002</v>
      </c>
      <c r="D115" s="28">
        <f t="shared" si="3"/>
        <v>30373.81</v>
      </c>
      <c r="E115" s="28">
        <f>IF($C115="","",ROUND($C115*Loan!$B$6/12,2))</f>
        <v>15851.63</v>
      </c>
      <c r="F115" s="28">
        <f>IF($C115="","",IF(111&gt;=Loan!$B$7,$C115,MIN($C115,MAX(0,Loan!$B$14-$E115))))</f>
        <v>14522.180000000002</v>
      </c>
      <c r="G115" s="28">
        <f>IF($C115="","",MAX(0,MIN($C115-$F115,N(Loan!$B$9)+IF(111=N(Loan!$B$11),N(Loan!$B$10),0))))</f>
        <v>0</v>
      </c>
      <c r="H115" s="28">
        <f t="shared" si="4"/>
        <v>2223355.02</v>
      </c>
      <c r="I115" s="28">
        <f>IF($C115="","",SUM($E$5:$E115))</f>
        <v>2294847.9300000006</v>
      </c>
      <c r="J115" s="29"/>
    </row>
    <row r="116" spans="1:10" x14ac:dyDescent="0.3">
      <c r="A116" s="26">
        <f>IF($C116="","",112)</f>
        <v>112</v>
      </c>
      <c r="B116" s="27">
        <f>IF($C116="","",EDATE(Loan!$B$8,112-1))</f>
        <v>48918</v>
      </c>
      <c r="C116" s="28">
        <f t="shared" si="5"/>
        <v>2223355.02</v>
      </c>
      <c r="D116" s="28">
        <f t="shared" si="3"/>
        <v>30373.81</v>
      </c>
      <c r="E116" s="28">
        <f>IF($C116="","",ROUND($C116*Loan!$B$6/12,2))</f>
        <v>15748.76</v>
      </c>
      <c r="F116" s="28">
        <f>IF($C116="","",IF(112&gt;=Loan!$B$7,$C116,MIN($C116,MAX(0,Loan!$B$14-$E116))))</f>
        <v>14625.050000000001</v>
      </c>
      <c r="G116" s="28">
        <f>IF($C116="","",MAX(0,MIN($C116-$F116,N(Loan!$B$9)+IF(112=N(Loan!$B$11),N(Loan!$B$10),0))))</f>
        <v>0</v>
      </c>
      <c r="H116" s="28">
        <f t="shared" si="4"/>
        <v>2208729.9700000002</v>
      </c>
      <c r="I116" s="28">
        <f>IF($C116="","",SUM($E$5:$E116))</f>
        <v>2310596.6900000004</v>
      </c>
      <c r="J116" s="29"/>
    </row>
    <row r="117" spans="1:10" x14ac:dyDescent="0.3">
      <c r="A117" s="26">
        <f>IF($C117="","",113)</f>
        <v>113</v>
      </c>
      <c r="B117" s="27">
        <f>IF($C117="","",EDATE(Loan!$B$8,113-1))</f>
        <v>48949</v>
      </c>
      <c r="C117" s="28">
        <f t="shared" si="5"/>
        <v>2208729.9700000002</v>
      </c>
      <c r="D117" s="28">
        <f t="shared" si="3"/>
        <v>30373.81</v>
      </c>
      <c r="E117" s="28">
        <f>IF($C117="","",ROUND($C117*Loan!$B$6/12,2))</f>
        <v>15645.17</v>
      </c>
      <c r="F117" s="28">
        <f>IF($C117="","",IF(113&gt;=Loan!$B$7,$C117,MIN($C117,MAX(0,Loan!$B$14-$E117))))</f>
        <v>14728.640000000001</v>
      </c>
      <c r="G117" s="28">
        <f>IF($C117="","",MAX(0,MIN($C117-$F117,N(Loan!$B$9)+IF(113=N(Loan!$B$11),N(Loan!$B$10),0))))</f>
        <v>0</v>
      </c>
      <c r="H117" s="28">
        <f t="shared" si="4"/>
        <v>2194001.33</v>
      </c>
      <c r="I117" s="28">
        <f>IF($C117="","",SUM($E$5:$E117))</f>
        <v>2326241.8600000003</v>
      </c>
      <c r="J117" s="29"/>
    </row>
    <row r="118" spans="1:10" x14ac:dyDescent="0.3">
      <c r="A118" s="26">
        <f>IF($C118="","",114)</f>
        <v>114</v>
      </c>
      <c r="B118" s="27">
        <f>IF($C118="","",EDATE(Loan!$B$8,114-1))</f>
        <v>48980</v>
      </c>
      <c r="C118" s="28">
        <f t="shared" si="5"/>
        <v>2194001.33</v>
      </c>
      <c r="D118" s="28">
        <f t="shared" si="3"/>
        <v>30373.81</v>
      </c>
      <c r="E118" s="28">
        <f>IF($C118="","",ROUND($C118*Loan!$B$6/12,2))</f>
        <v>15540.84</v>
      </c>
      <c r="F118" s="28">
        <f>IF($C118="","",IF(114&gt;=Loan!$B$7,$C118,MIN($C118,MAX(0,Loan!$B$14-$E118))))</f>
        <v>14832.970000000001</v>
      </c>
      <c r="G118" s="28">
        <f>IF($C118="","",MAX(0,MIN($C118-$F118,N(Loan!$B$9)+IF(114=N(Loan!$B$11),N(Loan!$B$10),0))))</f>
        <v>0</v>
      </c>
      <c r="H118" s="28">
        <f t="shared" si="4"/>
        <v>2179168.36</v>
      </c>
      <c r="I118" s="28">
        <f>IF($C118="","",SUM($E$5:$E118))</f>
        <v>2341782.7000000002</v>
      </c>
      <c r="J118" s="29"/>
    </row>
    <row r="119" spans="1:10" x14ac:dyDescent="0.3">
      <c r="A119" s="26">
        <f>IF($C119="","",115)</f>
        <v>115</v>
      </c>
      <c r="B119" s="27">
        <f>IF($C119="","",EDATE(Loan!$B$8,115-1))</f>
        <v>49008</v>
      </c>
      <c r="C119" s="28">
        <f t="shared" si="5"/>
        <v>2179168.36</v>
      </c>
      <c r="D119" s="28">
        <f t="shared" si="3"/>
        <v>30373.81</v>
      </c>
      <c r="E119" s="28">
        <f>IF($C119="","",ROUND($C119*Loan!$B$6/12,2))</f>
        <v>15435.78</v>
      </c>
      <c r="F119" s="28">
        <f>IF($C119="","",IF(115&gt;=Loan!$B$7,$C119,MIN($C119,MAX(0,Loan!$B$14-$E119))))</f>
        <v>14938.03</v>
      </c>
      <c r="G119" s="28">
        <f>IF($C119="","",MAX(0,MIN($C119-$F119,N(Loan!$B$9)+IF(115=N(Loan!$B$11),N(Loan!$B$10),0))))</f>
        <v>0</v>
      </c>
      <c r="H119" s="28">
        <f t="shared" si="4"/>
        <v>2164230.33</v>
      </c>
      <c r="I119" s="28">
        <f>IF($C119="","",SUM($E$5:$E119))</f>
        <v>2357218.48</v>
      </c>
      <c r="J119" s="29"/>
    </row>
    <row r="120" spans="1:10" x14ac:dyDescent="0.3">
      <c r="A120" s="26">
        <f>IF($C120="","",116)</f>
        <v>116</v>
      </c>
      <c r="B120" s="27">
        <f>IF($C120="","",EDATE(Loan!$B$8,116-1))</f>
        <v>49039</v>
      </c>
      <c r="C120" s="28">
        <f t="shared" si="5"/>
        <v>2164230.33</v>
      </c>
      <c r="D120" s="28">
        <f t="shared" si="3"/>
        <v>30373.81</v>
      </c>
      <c r="E120" s="28">
        <f>IF($C120="","",ROUND($C120*Loan!$B$6/12,2))</f>
        <v>15329.96</v>
      </c>
      <c r="F120" s="28">
        <f>IF($C120="","",IF(116&gt;=Loan!$B$7,$C120,MIN($C120,MAX(0,Loan!$B$14-$E120))))</f>
        <v>15043.850000000002</v>
      </c>
      <c r="G120" s="28">
        <f>IF($C120="","",MAX(0,MIN($C120-$F120,N(Loan!$B$9)+IF(116=N(Loan!$B$11),N(Loan!$B$10),0))))</f>
        <v>0</v>
      </c>
      <c r="H120" s="28">
        <f t="shared" si="4"/>
        <v>2149186.48</v>
      </c>
      <c r="I120" s="28">
        <f>IF($C120="","",SUM($E$5:$E120))</f>
        <v>2372548.44</v>
      </c>
      <c r="J120" s="29"/>
    </row>
    <row r="121" spans="1:10" x14ac:dyDescent="0.3">
      <c r="A121" s="26">
        <f>IF($C121="","",117)</f>
        <v>117</v>
      </c>
      <c r="B121" s="27">
        <f>IF($C121="","",EDATE(Loan!$B$8,117-1))</f>
        <v>49069</v>
      </c>
      <c r="C121" s="28">
        <f t="shared" si="5"/>
        <v>2149186.48</v>
      </c>
      <c r="D121" s="28">
        <f t="shared" si="3"/>
        <v>30373.81</v>
      </c>
      <c r="E121" s="28">
        <f>IF($C121="","",ROUND($C121*Loan!$B$6/12,2))</f>
        <v>15223.4</v>
      </c>
      <c r="F121" s="28">
        <f>IF($C121="","",IF(117&gt;=Loan!$B$7,$C121,MIN($C121,MAX(0,Loan!$B$14-$E121))))</f>
        <v>15150.410000000002</v>
      </c>
      <c r="G121" s="28">
        <f>IF($C121="","",MAX(0,MIN($C121-$F121,N(Loan!$B$9)+IF(117=N(Loan!$B$11),N(Loan!$B$10),0))))</f>
        <v>0</v>
      </c>
      <c r="H121" s="28">
        <f t="shared" si="4"/>
        <v>2134036.0699999998</v>
      </c>
      <c r="I121" s="28">
        <f>IF($C121="","",SUM($E$5:$E121))</f>
        <v>2387771.84</v>
      </c>
      <c r="J121" s="29"/>
    </row>
    <row r="122" spans="1:10" x14ac:dyDescent="0.3">
      <c r="A122" s="26">
        <f>IF($C122="","",118)</f>
        <v>118</v>
      </c>
      <c r="B122" s="27">
        <f>IF($C122="","",EDATE(Loan!$B$8,118-1))</f>
        <v>49100</v>
      </c>
      <c r="C122" s="28">
        <f t="shared" si="5"/>
        <v>2134036.0699999998</v>
      </c>
      <c r="D122" s="28">
        <f t="shared" si="3"/>
        <v>30373.81</v>
      </c>
      <c r="E122" s="28">
        <f>IF($C122="","",ROUND($C122*Loan!$B$6/12,2))</f>
        <v>15116.09</v>
      </c>
      <c r="F122" s="28">
        <f>IF($C122="","",IF(118&gt;=Loan!$B$7,$C122,MIN($C122,MAX(0,Loan!$B$14-$E122))))</f>
        <v>15257.720000000001</v>
      </c>
      <c r="G122" s="28">
        <f>IF($C122="","",MAX(0,MIN($C122-$F122,N(Loan!$B$9)+IF(118=N(Loan!$B$11),N(Loan!$B$10),0))))</f>
        <v>0</v>
      </c>
      <c r="H122" s="28">
        <f t="shared" si="4"/>
        <v>2118778.35</v>
      </c>
      <c r="I122" s="28">
        <f>IF($C122="","",SUM($E$5:$E122))</f>
        <v>2402887.9299999997</v>
      </c>
      <c r="J122" s="29"/>
    </row>
    <row r="123" spans="1:10" x14ac:dyDescent="0.3">
      <c r="A123" s="26">
        <f>IF($C123="","",119)</f>
        <v>119</v>
      </c>
      <c r="B123" s="27">
        <f>IF($C123="","",EDATE(Loan!$B$8,119-1))</f>
        <v>49130</v>
      </c>
      <c r="C123" s="28">
        <f t="shared" si="5"/>
        <v>2118778.35</v>
      </c>
      <c r="D123" s="28">
        <f t="shared" si="3"/>
        <v>30373.81</v>
      </c>
      <c r="E123" s="28">
        <f>IF($C123="","",ROUND($C123*Loan!$B$6/12,2))</f>
        <v>15008.01</v>
      </c>
      <c r="F123" s="28">
        <f>IF($C123="","",IF(119&gt;=Loan!$B$7,$C123,MIN($C123,MAX(0,Loan!$B$14-$E123))))</f>
        <v>15365.800000000001</v>
      </c>
      <c r="G123" s="28">
        <f>IF($C123="","",MAX(0,MIN($C123-$F123,N(Loan!$B$9)+IF(119=N(Loan!$B$11),N(Loan!$B$10),0))))</f>
        <v>0</v>
      </c>
      <c r="H123" s="28">
        <f t="shared" si="4"/>
        <v>2103412.5499999998</v>
      </c>
      <c r="I123" s="28">
        <f>IF($C123="","",SUM($E$5:$E123))</f>
        <v>2417895.9399999995</v>
      </c>
      <c r="J123" s="29"/>
    </row>
    <row r="124" spans="1:10" x14ac:dyDescent="0.3">
      <c r="A124" s="26">
        <f>IF($C124="","",120)</f>
        <v>120</v>
      </c>
      <c r="B124" s="27">
        <f>IF($C124="","",EDATE(Loan!$B$8,120-1))</f>
        <v>49161</v>
      </c>
      <c r="C124" s="28">
        <f t="shared" si="5"/>
        <v>2103412.5499999998</v>
      </c>
      <c r="D124" s="28">
        <f t="shared" si="3"/>
        <v>30373.81</v>
      </c>
      <c r="E124" s="28">
        <f>IF($C124="","",ROUND($C124*Loan!$B$6/12,2))</f>
        <v>14899.17</v>
      </c>
      <c r="F124" s="28">
        <f>IF($C124="","",IF(120&gt;=Loan!$B$7,$C124,MIN($C124,MAX(0,Loan!$B$14-$E124))))</f>
        <v>15474.640000000001</v>
      </c>
      <c r="G124" s="28">
        <f>IF($C124="","",MAX(0,MIN($C124-$F124,N(Loan!$B$9)+IF(120=N(Loan!$B$11),N(Loan!$B$10),0))))</f>
        <v>0</v>
      </c>
      <c r="H124" s="28">
        <f t="shared" si="4"/>
        <v>2087937.91</v>
      </c>
      <c r="I124" s="28">
        <f>IF($C124="","",SUM($E$5:$E124))</f>
        <v>2432795.1099999994</v>
      </c>
      <c r="J124" s="29"/>
    </row>
    <row r="125" spans="1:10" x14ac:dyDescent="0.3">
      <c r="A125" s="26">
        <f>IF($C125="","",121)</f>
        <v>121</v>
      </c>
      <c r="B125" s="27">
        <f>IF($C125="","",EDATE(Loan!$B$8,121-1))</f>
        <v>49192</v>
      </c>
      <c r="C125" s="28">
        <f t="shared" si="5"/>
        <v>2087937.91</v>
      </c>
      <c r="D125" s="28">
        <f t="shared" si="3"/>
        <v>30373.81</v>
      </c>
      <c r="E125" s="28">
        <f>IF($C125="","",ROUND($C125*Loan!$B$6/12,2))</f>
        <v>14789.56</v>
      </c>
      <c r="F125" s="28">
        <f>IF($C125="","",IF(121&gt;=Loan!$B$7,$C125,MIN($C125,MAX(0,Loan!$B$14-$E125))))</f>
        <v>15584.250000000002</v>
      </c>
      <c r="G125" s="28">
        <f>IF($C125="","",MAX(0,MIN($C125-$F125,N(Loan!$B$9)+IF(121=N(Loan!$B$11),N(Loan!$B$10),0))))</f>
        <v>0</v>
      </c>
      <c r="H125" s="28">
        <f t="shared" si="4"/>
        <v>2072353.66</v>
      </c>
      <c r="I125" s="28">
        <f>IF($C125="","",SUM($E$5:$E125))</f>
        <v>2447584.6699999995</v>
      </c>
      <c r="J125" s="29"/>
    </row>
    <row r="126" spans="1:10" x14ac:dyDescent="0.3">
      <c r="A126" s="26">
        <f>IF($C126="","",122)</f>
        <v>122</v>
      </c>
      <c r="B126" s="27">
        <f>IF($C126="","",EDATE(Loan!$B$8,122-1))</f>
        <v>49222</v>
      </c>
      <c r="C126" s="28">
        <f t="shared" si="5"/>
        <v>2072353.66</v>
      </c>
      <c r="D126" s="28">
        <f t="shared" si="3"/>
        <v>30373.81</v>
      </c>
      <c r="E126" s="28">
        <f>IF($C126="","",ROUND($C126*Loan!$B$6/12,2))</f>
        <v>14679.17</v>
      </c>
      <c r="F126" s="28">
        <f>IF($C126="","",IF(122&gt;=Loan!$B$7,$C126,MIN($C126,MAX(0,Loan!$B$14-$E126))))</f>
        <v>15694.640000000001</v>
      </c>
      <c r="G126" s="28">
        <f>IF($C126="","",MAX(0,MIN($C126-$F126,N(Loan!$B$9)+IF(122=N(Loan!$B$11),N(Loan!$B$10),0))))</f>
        <v>0</v>
      </c>
      <c r="H126" s="28">
        <f t="shared" si="4"/>
        <v>2056659.02</v>
      </c>
      <c r="I126" s="28">
        <f>IF($C126="","",SUM($E$5:$E126))</f>
        <v>2462263.8399999994</v>
      </c>
      <c r="J126" s="29"/>
    </row>
    <row r="127" spans="1:10" x14ac:dyDescent="0.3">
      <c r="A127" s="26">
        <f>IF($C127="","",123)</f>
        <v>123</v>
      </c>
      <c r="B127" s="27">
        <f>IF($C127="","",EDATE(Loan!$B$8,123-1))</f>
        <v>49253</v>
      </c>
      <c r="C127" s="28">
        <f t="shared" si="5"/>
        <v>2056659.02</v>
      </c>
      <c r="D127" s="28">
        <f t="shared" si="3"/>
        <v>30373.81</v>
      </c>
      <c r="E127" s="28">
        <f>IF($C127="","",ROUND($C127*Loan!$B$6/12,2))</f>
        <v>14568</v>
      </c>
      <c r="F127" s="28">
        <f>IF($C127="","",IF(123&gt;=Loan!$B$7,$C127,MIN($C127,MAX(0,Loan!$B$14-$E127))))</f>
        <v>15805.810000000001</v>
      </c>
      <c r="G127" s="28">
        <f>IF($C127="","",MAX(0,MIN($C127-$F127,N(Loan!$B$9)+IF(123=N(Loan!$B$11),N(Loan!$B$10),0))))</f>
        <v>0</v>
      </c>
      <c r="H127" s="28">
        <f t="shared" si="4"/>
        <v>2040853.21</v>
      </c>
      <c r="I127" s="28">
        <f>IF($C127="","",SUM($E$5:$E127))</f>
        <v>2476831.8399999994</v>
      </c>
      <c r="J127" s="29"/>
    </row>
    <row r="128" spans="1:10" x14ac:dyDescent="0.3">
      <c r="A128" s="26">
        <f>IF($C128="","",124)</f>
        <v>124</v>
      </c>
      <c r="B128" s="27">
        <f>IF($C128="","",EDATE(Loan!$B$8,124-1))</f>
        <v>49283</v>
      </c>
      <c r="C128" s="28">
        <f t="shared" si="5"/>
        <v>2040853.21</v>
      </c>
      <c r="D128" s="28">
        <f t="shared" si="3"/>
        <v>30373.81</v>
      </c>
      <c r="E128" s="28">
        <f>IF($C128="","",ROUND($C128*Loan!$B$6/12,2))</f>
        <v>14456.04</v>
      </c>
      <c r="F128" s="28">
        <f>IF($C128="","",IF(124&gt;=Loan!$B$7,$C128,MIN($C128,MAX(0,Loan!$B$14-$E128))))</f>
        <v>15917.77</v>
      </c>
      <c r="G128" s="28">
        <f>IF($C128="","",MAX(0,MIN($C128-$F128,N(Loan!$B$9)+IF(124=N(Loan!$B$11),N(Loan!$B$10),0))))</f>
        <v>0</v>
      </c>
      <c r="H128" s="28">
        <f t="shared" si="4"/>
        <v>2024935.44</v>
      </c>
      <c r="I128" s="28">
        <f>IF($C128="","",SUM($E$5:$E128))</f>
        <v>2491287.8799999994</v>
      </c>
      <c r="J128" s="29"/>
    </row>
    <row r="129" spans="1:10" x14ac:dyDescent="0.3">
      <c r="A129" s="26">
        <f>IF($C129="","",125)</f>
        <v>125</v>
      </c>
      <c r="B129" s="27">
        <f>IF($C129="","",EDATE(Loan!$B$8,125-1))</f>
        <v>49314</v>
      </c>
      <c r="C129" s="28">
        <f t="shared" si="5"/>
        <v>2024935.44</v>
      </c>
      <c r="D129" s="28">
        <f t="shared" si="3"/>
        <v>30373.81</v>
      </c>
      <c r="E129" s="28">
        <f>IF($C129="","",ROUND($C129*Loan!$B$6/12,2))</f>
        <v>14343.29</v>
      </c>
      <c r="F129" s="28">
        <f>IF($C129="","",IF(125&gt;=Loan!$B$7,$C129,MIN($C129,MAX(0,Loan!$B$14-$E129))))</f>
        <v>16030.52</v>
      </c>
      <c r="G129" s="28">
        <f>IF($C129="","",MAX(0,MIN($C129-$F129,N(Loan!$B$9)+IF(125=N(Loan!$B$11),N(Loan!$B$10),0))))</f>
        <v>0</v>
      </c>
      <c r="H129" s="28">
        <f t="shared" si="4"/>
        <v>2008904.92</v>
      </c>
      <c r="I129" s="28">
        <f>IF($C129="","",SUM($E$5:$E129))</f>
        <v>2505631.1699999995</v>
      </c>
      <c r="J129" s="29"/>
    </row>
    <row r="130" spans="1:10" x14ac:dyDescent="0.3">
      <c r="A130" s="26">
        <f>IF($C130="","",126)</f>
        <v>126</v>
      </c>
      <c r="B130" s="27">
        <f>IF($C130="","",EDATE(Loan!$B$8,126-1))</f>
        <v>49345</v>
      </c>
      <c r="C130" s="28">
        <f t="shared" si="5"/>
        <v>2008904.92</v>
      </c>
      <c r="D130" s="28">
        <f t="shared" si="3"/>
        <v>30373.81</v>
      </c>
      <c r="E130" s="28">
        <f>IF($C130="","",ROUND($C130*Loan!$B$6/12,2))</f>
        <v>14229.74</v>
      </c>
      <c r="F130" s="28">
        <f>IF($C130="","",IF(126&gt;=Loan!$B$7,$C130,MIN($C130,MAX(0,Loan!$B$14-$E130))))</f>
        <v>16144.070000000002</v>
      </c>
      <c r="G130" s="28">
        <f>IF($C130="","",MAX(0,MIN($C130-$F130,N(Loan!$B$9)+IF(126=N(Loan!$B$11),N(Loan!$B$10),0))))</f>
        <v>0</v>
      </c>
      <c r="H130" s="28">
        <f t="shared" si="4"/>
        <v>1992760.85</v>
      </c>
      <c r="I130" s="28">
        <f>IF($C130="","",SUM($E$5:$E130))</f>
        <v>2519860.9099999997</v>
      </c>
      <c r="J130" s="29"/>
    </row>
    <row r="131" spans="1:10" x14ac:dyDescent="0.3">
      <c r="A131" s="26">
        <f>IF($C131="","",127)</f>
        <v>127</v>
      </c>
      <c r="B131" s="27">
        <f>IF($C131="","",EDATE(Loan!$B$8,127-1))</f>
        <v>49373</v>
      </c>
      <c r="C131" s="28">
        <f t="shared" si="5"/>
        <v>1992760.85</v>
      </c>
      <c r="D131" s="28">
        <f t="shared" si="3"/>
        <v>30373.81</v>
      </c>
      <c r="E131" s="28">
        <f>IF($C131="","",ROUND($C131*Loan!$B$6/12,2))</f>
        <v>14115.39</v>
      </c>
      <c r="F131" s="28">
        <f>IF($C131="","",IF(127&gt;=Loan!$B$7,$C131,MIN($C131,MAX(0,Loan!$B$14-$E131))))</f>
        <v>16258.420000000002</v>
      </c>
      <c r="G131" s="28">
        <f>IF($C131="","",MAX(0,MIN($C131-$F131,N(Loan!$B$9)+IF(127=N(Loan!$B$11),N(Loan!$B$10),0))))</f>
        <v>0</v>
      </c>
      <c r="H131" s="28">
        <f t="shared" si="4"/>
        <v>1976502.43</v>
      </c>
      <c r="I131" s="28">
        <f>IF($C131="","",SUM($E$5:$E131))</f>
        <v>2533976.2999999998</v>
      </c>
      <c r="J131" s="29"/>
    </row>
    <row r="132" spans="1:10" x14ac:dyDescent="0.3">
      <c r="A132" s="26">
        <f>IF($C132="","",128)</f>
        <v>128</v>
      </c>
      <c r="B132" s="27">
        <f>IF($C132="","",EDATE(Loan!$B$8,128-1))</f>
        <v>49404</v>
      </c>
      <c r="C132" s="28">
        <f t="shared" si="5"/>
        <v>1976502.43</v>
      </c>
      <c r="D132" s="28">
        <f t="shared" si="3"/>
        <v>30373.81</v>
      </c>
      <c r="E132" s="28">
        <f>IF($C132="","",ROUND($C132*Loan!$B$6/12,2))</f>
        <v>14000.23</v>
      </c>
      <c r="F132" s="28">
        <f>IF($C132="","",IF(128&gt;=Loan!$B$7,$C132,MIN($C132,MAX(0,Loan!$B$14-$E132))))</f>
        <v>16373.580000000002</v>
      </c>
      <c r="G132" s="28">
        <f>IF($C132="","",MAX(0,MIN($C132-$F132,N(Loan!$B$9)+IF(128=N(Loan!$B$11),N(Loan!$B$10),0))))</f>
        <v>0</v>
      </c>
      <c r="H132" s="28">
        <f t="shared" si="4"/>
        <v>1960128.85</v>
      </c>
      <c r="I132" s="28">
        <f>IF($C132="","",SUM($E$5:$E132))</f>
        <v>2547976.5299999998</v>
      </c>
      <c r="J132" s="29"/>
    </row>
    <row r="133" spans="1:10" x14ac:dyDescent="0.3">
      <c r="A133" s="26">
        <f>IF($C133="","",129)</f>
        <v>129</v>
      </c>
      <c r="B133" s="27">
        <f>IF($C133="","",EDATE(Loan!$B$8,129-1))</f>
        <v>49434</v>
      </c>
      <c r="C133" s="28">
        <f t="shared" si="5"/>
        <v>1960128.85</v>
      </c>
      <c r="D133" s="28">
        <f t="shared" ref="D133:D196" si="6">IF($C133="","",$E133+$F133)</f>
        <v>30373.81</v>
      </c>
      <c r="E133" s="28">
        <f>IF($C133="","",ROUND($C133*Loan!$B$6/12,2))</f>
        <v>13884.25</v>
      </c>
      <c r="F133" s="28">
        <f>IF($C133="","",IF(129&gt;=Loan!$B$7,$C133,MIN($C133,MAX(0,Loan!$B$14-$E133))))</f>
        <v>16489.560000000001</v>
      </c>
      <c r="G133" s="28">
        <f>IF($C133="","",MAX(0,MIN($C133-$F133,N(Loan!$B$9)+IF(129=N(Loan!$B$11),N(Loan!$B$10),0))))</f>
        <v>0</v>
      </c>
      <c r="H133" s="28">
        <f t="shared" ref="H133:H196" si="7">IF($C133="","",ROUND($C133-$F133-$G133,2))</f>
        <v>1943639.29</v>
      </c>
      <c r="I133" s="28">
        <f>IF($C133="","",SUM($E$5:$E133))</f>
        <v>2561860.7799999998</v>
      </c>
      <c r="J133" s="29"/>
    </row>
    <row r="134" spans="1:10" x14ac:dyDescent="0.3">
      <c r="A134" s="26">
        <f>IF($C134="","",130)</f>
        <v>130</v>
      </c>
      <c r="B134" s="27">
        <f>IF($C134="","",EDATE(Loan!$B$8,130-1))</f>
        <v>49465</v>
      </c>
      <c r="C134" s="28">
        <f t="shared" ref="C134:C197" si="8">IF(H133="","",IF(H133&lt;0.005,"",H133))</f>
        <v>1943639.29</v>
      </c>
      <c r="D134" s="28">
        <f t="shared" si="6"/>
        <v>30373.810000000005</v>
      </c>
      <c r="E134" s="28">
        <f>IF($C134="","",ROUND($C134*Loan!$B$6/12,2))</f>
        <v>13767.44</v>
      </c>
      <c r="F134" s="28">
        <f>IF($C134="","",IF(130&gt;=Loan!$B$7,$C134,MIN($C134,MAX(0,Loan!$B$14-$E134))))</f>
        <v>16606.370000000003</v>
      </c>
      <c r="G134" s="28">
        <f>IF($C134="","",MAX(0,MIN($C134-$F134,N(Loan!$B$9)+IF(130=N(Loan!$B$11),N(Loan!$B$10),0))))</f>
        <v>0</v>
      </c>
      <c r="H134" s="28">
        <f t="shared" si="7"/>
        <v>1927032.92</v>
      </c>
      <c r="I134" s="28">
        <f>IF($C134="","",SUM($E$5:$E134))</f>
        <v>2575628.2199999997</v>
      </c>
      <c r="J134" s="29"/>
    </row>
    <row r="135" spans="1:10" x14ac:dyDescent="0.3">
      <c r="A135" s="26">
        <f>IF($C135="","",131)</f>
        <v>131</v>
      </c>
      <c r="B135" s="27">
        <f>IF($C135="","",EDATE(Loan!$B$8,131-1))</f>
        <v>49495</v>
      </c>
      <c r="C135" s="28">
        <f t="shared" si="8"/>
        <v>1927032.92</v>
      </c>
      <c r="D135" s="28">
        <f t="shared" si="6"/>
        <v>30373.81</v>
      </c>
      <c r="E135" s="28">
        <f>IF($C135="","",ROUND($C135*Loan!$B$6/12,2))</f>
        <v>13649.82</v>
      </c>
      <c r="F135" s="28">
        <f>IF($C135="","",IF(131&gt;=Loan!$B$7,$C135,MIN($C135,MAX(0,Loan!$B$14-$E135))))</f>
        <v>16723.990000000002</v>
      </c>
      <c r="G135" s="28">
        <f>IF($C135="","",MAX(0,MIN($C135-$F135,N(Loan!$B$9)+IF(131=N(Loan!$B$11),N(Loan!$B$10),0))))</f>
        <v>0</v>
      </c>
      <c r="H135" s="28">
        <f t="shared" si="7"/>
        <v>1910308.93</v>
      </c>
      <c r="I135" s="28">
        <f>IF($C135="","",SUM($E$5:$E135))</f>
        <v>2589278.0399999996</v>
      </c>
      <c r="J135" s="29"/>
    </row>
    <row r="136" spans="1:10" x14ac:dyDescent="0.3">
      <c r="A136" s="26">
        <f>IF($C136="","",132)</f>
        <v>132</v>
      </c>
      <c r="B136" s="27">
        <f>IF($C136="","",EDATE(Loan!$B$8,132-1))</f>
        <v>49526</v>
      </c>
      <c r="C136" s="28">
        <f t="shared" si="8"/>
        <v>1910308.93</v>
      </c>
      <c r="D136" s="28">
        <f t="shared" si="6"/>
        <v>30373.809999999998</v>
      </c>
      <c r="E136" s="28">
        <f>IF($C136="","",ROUND($C136*Loan!$B$6/12,2))</f>
        <v>13531.35</v>
      </c>
      <c r="F136" s="28">
        <f>IF($C136="","",IF(132&gt;=Loan!$B$7,$C136,MIN($C136,MAX(0,Loan!$B$14-$E136))))</f>
        <v>16842.46</v>
      </c>
      <c r="G136" s="28">
        <f>IF($C136="","",MAX(0,MIN($C136-$F136,N(Loan!$B$9)+IF(132=N(Loan!$B$11),N(Loan!$B$10),0))))</f>
        <v>0</v>
      </c>
      <c r="H136" s="28">
        <f t="shared" si="7"/>
        <v>1893466.47</v>
      </c>
      <c r="I136" s="28">
        <f>IF($C136="","",SUM($E$5:$E136))</f>
        <v>2602809.3899999997</v>
      </c>
      <c r="J136" s="29"/>
    </row>
    <row r="137" spans="1:10" x14ac:dyDescent="0.3">
      <c r="A137" s="26">
        <f>IF($C137="","",133)</f>
        <v>133</v>
      </c>
      <c r="B137" s="27">
        <f>IF($C137="","",EDATE(Loan!$B$8,133-1))</f>
        <v>49557</v>
      </c>
      <c r="C137" s="28">
        <f t="shared" si="8"/>
        <v>1893466.47</v>
      </c>
      <c r="D137" s="28">
        <f t="shared" si="6"/>
        <v>30373.81</v>
      </c>
      <c r="E137" s="28">
        <f>IF($C137="","",ROUND($C137*Loan!$B$6/12,2))</f>
        <v>13412.05</v>
      </c>
      <c r="F137" s="28">
        <f>IF($C137="","",IF(133&gt;=Loan!$B$7,$C137,MIN($C137,MAX(0,Loan!$B$14-$E137))))</f>
        <v>16961.760000000002</v>
      </c>
      <c r="G137" s="28">
        <f>IF($C137="","",MAX(0,MIN($C137-$F137,N(Loan!$B$9)+IF(133=N(Loan!$B$11),N(Loan!$B$10),0))))</f>
        <v>0</v>
      </c>
      <c r="H137" s="28">
        <f t="shared" si="7"/>
        <v>1876504.71</v>
      </c>
      <c r="I137" s="28">
        <f>IF($C137="","",SUM($E$5:$E137))</f>
        <v>2616221.4399999995</v>
      </c>
      <c r="J137" s="29"/>
    </row>
    <row r="138" spans="1:10" x14ac:dyDescent="0.3">
      <c r="A138" s="26">
        <f>IF($C138="","",134)</f>
        <v>134</v>
      </c>
      <c r="B138" s="27">
        <f>IF($C138="","",EDATE(Loan!$B$8,134-1))</f>
        <v>49587</v>
      </c>
      <c r="C138" s="28">
        <f t="shared" si="8"/>
        <v>1876504.71</v>
      </c>
      <c r="D138" s="28">
        <f t="shared" si="6"/>
        <v>30373.81</v>
      </c>
      <c r="E138" s="28">
        <f>IF($C138="","",ROUND($C138*Loan!$B$6/12,2))</f>
        <v>13291.91</v>
      </c>
      <c r="F138" s="28">
        <f>IF($C138="","",IF(134&gt;=Loan!$B$7,$C138,MIN($C138,MAX(0,Loan!$B$14-$E138))))</f>
        <v>17081.900000000001</v>
      </c>
      <c r="G138" s="28">
        <f>IF($C138="","",MAX(0,MIN($C138-$F138,N(Loan!$B$9)+IF(134=N(Loan!$B$11),N(Loan!$B$10),0))))</f>
        <v>0</v>
      </c>
      <c r="H138" s="28">
        <f t="shared" si="7"/>
        <v>1859422.81</v>
      </c>
      <c r="I138" s="28">
        <f>IF($C138="","",SUM($E$5:$E138))</f>
        <v>2629513.3499999996</v>
      </c>
      <c r="J138" s="29"/>
    </row>
    <row r="139" spans="1:10" x14ac:dyDescent="0.3">
      <c r="A139" s="26">
        <f>IF($C139="","",135)</f>
        <v>135</v>
      </c>
      <c r="B139" s="27">
        <f>IF($C139="","",EDATE(Loan!$B$8,135-1))</f>
        <v>49618</v>
      </c>
      <c r="C139" s="28">
        <f t="shared" si="8"/>
        <v>1859422.81</v>
      </c>
      <c r="D139" s="28">
        <f t="shared" si="6"/>
        <v>30373.81</v>
      </c>
      <c r="E139" s="28">
        <f>IF($C139="","",ROUND($C139*Loan!$B$6/12,2))</f>
        <v>13170.91</v>
      </c>
      <c r="F139" s="28">
        <f>IF($C139="","",IF(135&gt;=Loan!$B$7,$C139,MIN($C139,MAX(0,Loan!$B$14-$E139))))</f>
        <v>17202.900000000001</v>
      </c>
      <c r="G139" s="28">
        <f>IF($C139="","",MAX(0,MIN($C139-$F139,N(Loan!$B$9)+IF(135=N(Loan!$B$11),N(Loan!$B$10),0))))</f>
        <v>0</v>
      </c>
      <c r="H139" s="28">
        <f t="shared" si="7"/>
        <v>1842219.91</v>
      </c>
      <c r="I139" s="28">
        <f>IF($C139="","",SUM($E$5:$E139))</f>
        <v>2642684.2599999998</v>
      </c>
      <c r="J139" s="29"/>
    </row>
    <row r="140" spans="1:10" x14ac:dyDescent="0.3">
      <c r="A140" s="26">
        <f>IF($C140="","",136)</f>
        <v>136</v>
      </c>
      <c r="B140" s="27">
        <f>IF($C140="","",EDATE(Loan!$B$8,136-1))</f>
        <v>49648</v>
      </c>
      <c r="C140" s="28">
        <f t="shared" si="8"/>
        <v>1842219.91</v>
      </c>
      <c r="D140" s="28">
        <f t="shared" si="6"/>
        <v>30373.809999999998</v>
      </c>
      <c r="E140" s="28">
        <f>IF($C140="","",ROUND($C140*Loan!$B$6/12,2))</f>
        <v>13049.06</v>
      </c>
      <c r="F140" s="28">
        <f>IF($C140="","",IF(136&gt;=Loan!$B$7,$C140,MIN($C140,MAX(0,Loan!$B$14-$E140))))</f>
        <v>17324.75</v>
      </c>
      <c r="G140" s="28">
        <f>IF($C140="","",MAX(0,MIN($C140-$F140,N(Loan!$B$9)+IF(136=N(Loan!$B$11),N(Loan!$B$10),0))))</f>
        <v>0</v>
      </c>
      <c r="H140" s="28">
        <f t="shared" si="7"/>
        <v>1824895.16</v>
      </c>
      <c r="I140" s="28">
        <f>IF($C140="","",SUM($E$5:$E140))</f>
        <v>2655733.3199999998</v>
      </c>
      <c r="J140" s="29"/>
    </row>
    <row r="141" spans="1:10" x14ac:dyDescent="0.3">
      <c r="A141" s="26">
        <f>IF($C141="","",137)</f>
        <v>137</v>
      </c>
      <c r="B141" s="27">
        <f>IF($C141="","",EDATE(Loan!$B$8,137-1))</f>
        <v>49679</v>
      </c>
      <c r="C141" s="28">
        <f t="shared" si="8"/>
        <v>1824895.16</v>
      </c>
      <c r="D141" s="28">
        <f t="shared" si="6"/>
        <v>30373.81</v>
      </c>
      <c r="E141" s="28">
        <f>IF($C141="","",ROUND($C141*Loan!$B$6/12,2))</f>
        <v>12926.34</v>
      </c>
      <c r="F141" s="28">
        <f>IF($C141="","",IF(137&gt;=Loan!$B$7,$C141,MIN($C141,MAX(0,Loan!$B$14-$E141))))</f>
        <v>17447.47</v>
      </c>
      <c r="G141" s="28">
        <f>IF($C141="","",MAX(0,MIN($C141-$F141,N(Loan!$B$9)+IF(137=N(Loan!$B$11),N(Loan!$B$10),0))))</f>
        <v>0</v>
      </c>
      <c r="H141" s="28">
        <f t="shared" si="7"/>
        <v>1807447.69</v>
      </c>
      <c r="I141" s="28">
        <f>IF($C141="","",SUM($E$5:$E141))</f>
        <v>2668659.6599999997</v>
      </c>
      <c r="J141" s="29"/>
    </row>
    <row r="142" spans="1:10" x14ac:dyDescent="0.3">
      <c r="A142" s="26">
        <f>IF($C142="","",138)</f>
        <v>138</v>
      </c>
      <c r="B142" s="27">
        <f>IF($C142="","",EDATE(Loan!$B$8,138-1))</f>
        <v>49710</v>
      </c>
      <c r="C142" s="28">
        <f t="shared" si="8"/>
        <v>1807447.69</v>
      </c>
      <c r="D142" s="28">
        <f t="shared" si="6"/>
        <v>30373.81</v>
      </c>
      <c r="E142" s="28">
        <f>IF($C142="","",ROUND($C142*Loan!$B$6/12,2))</f>
        <v>12802.75</v>
      </c>
      <c r="F142" s="28">
        <f>IF($C142="","",IF(138&gt;=Loan!$B$7,$C142,MIN($C142,MAX(0,Loan!$B$14-$E142))))</f>
        <v>17571.060000000001</v>
      </c>
      <c r="G142" s="28">
        <f>IF($C142="","",MAX(0,MIN($C142-$F142,N(Loan!$B$9)+IF(138=N(Loan!$B$11),N(Loan!$B$10),0))))</f>
        <v>0</v>
      </c>
      <c r="H142" s="28">
        <f t="shared" si="7"/>
        <v>1789876.63</v>
      </c>
      <c r="I142" s="28">
        <f>IF($C142="","",SUM($E$5:$E142))</f>
        <v>2681462.4099999997</v>
      </c>
      <c r="J142" s="29"/>
    </row>
    <row r="143" spans="1:10" x14ac:dyDescent="0.3">
      <c r="A143" s="26">
        <f>IF($C143="","",139)</f>
        <v>139</v>
      </c>
      <c r="B143" s="27">
        <f>IF($C143="","",EDATE(Loan!$B$8,139-1))</f>
        <v>49739</v>
      </c>
      <c r="C143" s="28">
        <f t="shared" si="8"/>
        <v>1789876.63</v>
      </c>
      <c r="D143" s="28">
        <f t="shared" si="6"/>
        <v>30373.81</v>
      </c>
      <c r="E143" s="28">
        <f>IF($C143="","",ROUND($C143*Loan!$B$6/12,2))</f>
        <v>12678.29</v>
      </c>
      <c r="F143" s="28">
        <f>IF($C143="","",IF(139&gt;=Loan!$B$7,$C143,MIN($C143,MAX(0,Loan!$B$14-$E143))))</f>
        <v>17695.52</v>
      </c>
      <c r="G143" s="28">
        <f>IF($C143="","",MAX(0,MIN($C143-$F143,N(Loan!$B$9)+IF(139=N(Loan!$B$11),N(Loan!$B$10),0))))</f>
        <v>0</v>
      </c>
      <c r="H143" s="28">
        <f t="shared" si="7"/>
        <v>1772181.11</v>
      </c>
      <c r="I143" s="28">
        <f>IF($C143="","",SUM($E$5:$E143))</f>
        <v>2694140.6999999997</v>
      </c>
      <c r="J143" s="29"/>
    </row>
    <row r="144" spans="1:10" x14ac:dyDescent="0.3">
      <c r="A144" s="26">
        <f>IF($C144="","",140)</f>
        <v>140</v>
      </c>
      <c r="B144" s="27">
        <f>IF($C144="","",EDATE(Loan!$B$8,140-1))</f>
        <v>49770</v>
      </c>
      <c r="C144" s="28">
        <f t="shared" si="8"/>
        <v>1772181.11</v>
      </c>
      <c r="D144" s="28">
        <f t="shared" si="6"/>
        <v>30373.81</v>
      </c>
      <c r="E144" s="28">
        <f>IF($C144="","",ROUND($C144*Loan!$B$6/12,2))</f>
        <v>12552.95</v>
      </c>
      <c r="F144" s="28">
        <f>IF($C144="","",IF(140&gt;=Loan!$B$7,$C144,MIN($C144,MAX(0,Loan!$B$14-$E144))))</f>
        <v>17820.86</v>
      </c>
      <c r="G144" s="28">
        <f>IF($C144="","",MAX(0,MIN($C144-$F144,N(Loan!$B$9)+IF(140=N(Loan!$B$11),N(Loan!$B$10),0))))</f>
        <v>0</v>
      </c>
      <c r="H144" s="28">
        <f t="shared" si="7"/>
        <v>1754360.25</v>
      </c>
      <c r="I144" s="28">
        <f>IF($C144="","",SUM($E$5:$E144))</f>
        <v>2706693.65</v>
      </c>
      <c r="J144" s="29"/>
    </row>
    <row r="145" spans="1:10" x14ac:dyDescent="0.3">
      <c r="A145" s="26">
        <f>IF($C145="","",141)</f>
        <v>141</v>
      </c>
      <c r="B145" s="27">
        <f>IF($C145="","",EDATE(Loan!$B$8,141-1))</f>
        <v>49800</v>
      </c>
      <c r="C145" s="28">
        <f t="shared" si="8"/>
        <v>1754360.25</v>
      </c>
      <c r="D145" s="28">
        <f t="shared" si="6"/>
        <v>30373.810000000005</v>
      </c>
      <c r="E145" s="28">
        <f>IF($C145="","",ROUND($C145*Loan!$B$6/12,2))</f>
        <v>12426.72</v>
      </c>
      <c r="F145" s="28">
        <f>IF($C145="","",IF(141&gt;=Loan!$B$7,$C145,MIN($C145,MAX(0,Loan!$B$14-$E145))))</f>
        <v>17947.090000000004</v>
      </c>
      <c r="G145" s="28">
        <f>IF($C145="","",MAX(0,MIN($C145-$F145,N(Loan!$B$9)+IF(141=N(Loan!$B$11),N(Loan!$B$10),0))))</f>
        <v>0</v>
      </c>
      <c r="H145" s="28">
        <f t="shared" si="7"/>
        <v>1736413.16</v>
      </c>
      <c r="I145" s="28">
        <f>IF($C145="","",SUM($E$5:$E145))</f>
        <v>2719120.37</v>
      </c>
      <c r="J145" s="29"/>
    </row>
    <row r="146" spans="1:10" x14ac:dyDescent="0.3">
      <c r="A146" s="26">
        <f>IF($C146="","",142)</f>
        <v>142</v>
      </c>
      <c r="B146" s="27">
        <f>IF($C146="","",EDATE(Loan!$B$8,142-1))</f>
        <v>49831</v>
      </c>
      <c r="C146" s="28">
        <f t="shared" si="8"/>
        <v>1736413.16</v>
      </c>
      <c r="D146" s="28">
        <f t="shared" si="6"/>
        <v>30373.81</v>
      </c>
      <c r="E146" s="28">
        <f>IF($C146="","",ROUND($C146*Loan!$B$6/12,2))</f>
        <v>12299.59</v>
      </c>
      <c r="F146" s="28">
        <f>IF($C146="","",IF(142&gt;=Loan!$B$7,$C146,MIN($C146,MAX(0,Loan!$B$14-$E146))))</f>
        <v>18074.22</v>
      </c>
      <c r="G146" s="28">
        <f>IF($C146="","",MAX(0,MIN($C146-$F146,N(Loan!$B$9)+IF(142=N(Loan!$B$11),N(Loan!$B$10),0))))</f>
        <v>0</v>
      </c>
      <c r="H146" s="28">
        <f t="shared" si="7"/>
        <v>1718338.94</v>
      </c>
      <c r="I146" s="28">
        <f>IF($C146="","",SUM($E$5:$E146))</f>
        <v>2731419.96</v>
      </c>
      <c r="J146" s="29"/>
    </row>
    <row r="147" spans="1:10" x14ac:dyDescent="0.3">
      <c r="A147" s="26">
        <f>IF($C147="","",143)</f>
        <v>143</v>
      </c>
      <c r="B147" s="27">
        <f>IF($C147="","",EDATE(Loan!$B$8,143-1))</f>
        <v>49861</v>
      </c>
      <c r="C147" s="28">
        <f t="shared" si="8"/>
        <v>1718338.94</v>
      </c>
      <c r="D147" s="28">
        <f t="shared" si="6"/>
        <v>30373.81</v>
      </c>
      <c r="E147" s="28">
        <f>IF($C147="","",ROUND($C147*Loan!$B$6/12,2))</f>
        <v>12171.57</v>
      </c>
      <c r="F147" s="28">
        <f>IF($C147="","",IF(143&gt;=Loan!$B$7,$C147,MIN($C147,MAX(0,Loan!$B$14-$E147))))</f>
        <v>18202.240000000002</v>
      </c>
      <c r="G147" s="28">
        <f>IF($C147="","",MAX(0,MIN($C147-$F147,N(Loan!$B$9)+IF(143=N(Loan!$B$11),N(Loan!$B$10),0))))</f>
        <v>0</v>
      </c>
      <c r="H147" s="28">
        <f t="shared" si="7"/>
        <v>1700136.7</v>
      </c>
      <c r="I147" s="28">
        <f>IF($C147="","",SUM($E$5:$E147))</f>
        <v>2743591.53</v>
      </c>
      <c r="J147" s="29"/>
    </row>
    <row r="148" spans="1:10" x14ac:dyDescent="0.3">
      <c r="A148" s="26">
        <f>IF($C148="","",144)</f>
        <v>144</v>
      </c>
      <c r="B148" s="27">
        <f>IF($C148="","",EDATE(Loan!$B$8,144-1))</f>
        <v>49892</v>
      </c>
      <c r="C148" s="28">
        <f t="shared" si="8"/>
        <v>1700136.7</v>
      </c>
      <c r="D148" s="28">
        <f t="shared" si="6"/>
        <v>30373.809999999998</v>
      </c>
      <c r="E148" s="28">
        <f>IF($C148="","",ROUND($C148*Loan!$B$6/12,2))</f>
        <v>12042.63</v>
      </c>
      <c r="F148" s="28">
        <f>IF($C148="","",IF(144&gt;=Loan!$B$7,$C148,MIN($C148,MAX(0,Loan!$B$14-$E148))))</f>
        <v>18331.18</v>
      </c>
      <c r="G148" s="28">
        <f>IF($C148="","",MAX(0,MIN($C148-$F148,N(Loan!$B$9)+IF(144=N(Loan!$B$11),N(Loan!$B$10),0))))</f>
        <v>0</v>
      </c>
      <c r="H148" s="28">
        <f t="shared" si="7"/>
        <v>1681805.52</v>
      </c>
      <c r="I148" s="28">
        <f>IF($C148="","",SUM($E$5:$E148))</f>
        <v>2755634.1599999997</v>
      </c>
      <c r="J148" s="29"/>
    </row>
    <row r="149" spans="1:10" x14ac:dyDescent="0.3">
      <c r="A149" s="26">
        <f>IF($C149="","",145)</f>
        <v>145</v>
      </c>
      <c r="B149" s="27">
        <f>IF($C149="","",EDATE(Loan!$B$8,145-1))</f>
        <v>49923</v>
      </c>
      <c r="C149" s="28">
        <f t="shared" si="8"/>
        <v>1681805.52</v>
      </c>
      <c r="D149" s="28">
        <f t="shared" si="6"/>
        <v>30373.81</v>
      </c>
      <c r="E149" s="28">
        <f>IF($C149="","",ROUND($C149*Loan!$B$6/12,2))</f>
        <v>11912.79</v>
      </c>
      <c r="F149" s="28">
        <f>IF($C149="","",IF(145&gt;=Loan!$B$7,$C149,MIN($C149,MAX(0,Loan!$B$14-$E149))))</f>
        <v>18461.02</v>
      </c>
      <c r="G149" s="28">
        <f>IF($C149="","",MAX(0,MIN($C149-$F149,N(Loan!$B$9)+IF(145=N(Loan!$B$11),N(Loan!$B$10),0))))</f>
        <v>0</v>
      </c>
      <c r="H149" s="28">
        <f t="shared" si="7"/>
        <v>1663344.5</v>
      </c>
      <c r="I149" s="28">
        <f>IF($C149="","",SUM($E$5:$E149))</f>
        <v>2767546.9499999997</v>
      </c>
      <c r="J149" s="29"/>
    </row>
    <row r="150" spans="1:10" x14ac:dyDescent="0.3">
      <c r="A150" s="26">
        <f>IF($C150="","",146)</f>
        <v>146</v>
      </c>
      <c r="B150" s="27">
        <f>IF($C150="","",EDATE(Loan!$B$8,146-1))</f>
        <v>49953</v>
      </c>
      <c r="C150" s="28">
        <f t="shared" si="8"/>
        <v>1663344.5</v>
      </c>
      <c r="D150" s="28">
        <f t="shared" si="6"/>
        <v>30373.81</v>
      </c>
      <c r="E150" s="28">
        <f>IF($C150="","",ROUND($C150*Loan!$B$6/12,2))</f>
        <v>11782.02</v>
      </c>
      <c r="F150" s="28">
        <f>IF($C150="","",IF(146&gt;=Loan!$B$7,$C150,MIN($C150,MAX(0,Loan!$B$14-$E150))))</f>
        <v>18591.79</v>
      </c>
      <c r="G150" s="28">
        <f>IF($C150="","",MAX(0,MIN($C150-$F150,N(Loan!$B$9)+IF(146=N(Loan!$B$11),N(Loan!$B$10),0))))</f>
        <v>0</v>
      </c>
      <c r="H150" s="28">
        <f t="shared" si="7"/>
        <v>1644752.71</v>
      </c>
      <c r="I150" s="28">
        <f>IF($C150="","",SUM($E$5:$E150))</f>
        <v>2779328.9699999997</v>
      </c>
      <c r="J150" s="29"/>
    </row>
    <row r="151" spans="1:10" x14ac:dyDescent="0.3">
      <c r="A151" s="26">
        <f>IF($C151="","",147)</f>
        <v>147</v>
      </c>
      <c r="B151" s="27">
        <f>IF($C151="","",EDATE(Loan!$B$8,147-1))</f>
        <v>49984</v>
      </c>
      <c r="C151" s="28">
        <f t="shared" si="8"/>
        <v>1644752.71</v>
      </c>
      <c r="D151" s="28">
        <f t="shared" si="6"/>
        <v>30373.810000000005</v>
      </c>
      <c r="E151" s="28">
        <f>IF($C151="","",ROUND($C151*Loan!$B$6/12,2))</f>
        <v>11650.33</v>
      </c>
      <c r="F151" s="28">
        <f>IF($C151="","",IF(147&gt;=Loan!$B$7,$C151,MIN($C151,MAX(0,Loan!$B$14-$E151))))</f>
        <v>18723.480000000003</v>
      </c>
      <c r="G151" s="28">
        <f>IF($C151="","",MAX(0,MIN($C151-$F151,N(Loan!$B$9)+IF(147=N(Loan!$B$11),N(Loan!$B$10),0))))</f>
        <v>0</v>
      </c>
      <c r="H151" s="28">
        <f t="shared" si="7"/>
        <v>1626029.23</v>
      </c>
      <c r="I151" s="28">
        <f>IF($C151="","",SUM($E$5:$E151))</f>
        <v>2790979.3</v>
      </c>
      <c r="J151" s="29"/>
    </row>
    <row r="152" spans="1:10" x14ac:dyDescent="0.3">
      <c r="A152" s="26">
        <f>IF($C152="","",148)</f>
        <v>148</v>
      </c>
      <c r="B152" s="27">
        <f>IF($C152="","",EDATE(Loan!$B$8,148-1))</f>
        <v>50014</v>
      </c>
      <c r="C152" s="28">
        <f t="shared" si="8"/>
        <v>1626029.23</v>
      </c>
      <c r="D152" s="28">
        <f t="shared" si="6"/>
        <v>30373.81</v>
      </c>
      <c r="E152" s="28">
        <f>IF($C152="","",ROUND($C152*Loan!$B$6/12,2))</f>
        <v>11517.71</v>
      </c>
      <c r="F152" s="28">
        <f>IF($C152="","",IF(148&gt;=Loan!$B$7,$C152,MIN($C152,MAX(0,Loan!$B$14-$E152))))</f>
        <v>18856.100000000002</v>
      </c>
      <c r="G152" s="28">
        <f>IF($C152="","",MAX(0,MIN($C152-$F152,N(Loan!$B$9)+IF(148=N(Loan!$B$11),N(Loan!$B$10),0))))</f>
        <v>0</v>
      </c>
      <c r="H152" s="28">
        <f t="shared" si="7"/>
        <v>1607173.13</v>
      </c>
      <c r="I152" s="28">
        <f>IF($C152="","",SUM($E$5:$E152))</f>
        <v>2802497.01</v>
      </c>
      <c r="J152" s="29"/>
    </row>
    <row r="153" spans="1:10" x14ac:dyDescent="0.3">
      <c r="A153" s="26">
        <f>IF($C153="","",149)</f>
        <v>149</v>
      </c>
      <c r="B153" s="27">
        <f>IF($C153="","",EDATE(Loan!$B$8,149-1))</f>
        <v>50045</v>
      </c>
      <c r="C153" s="28">
        <f t="shared" si="8"/>
        <v>1607173.13</v>
      </c>
      <c r="D153" s="28">
        <f t="shared" si="6"/>
        <v>30373.81</v>
      </c>
      <c r="E153" s="28">
        <f>IF($C153="","",ROUND($C153*Loan!$B$6/12,2))</f>
        <v>11384.14</v>
      </c>
      <c r="F153" s="28">
        <f>IF($C153="","",IF(149&gt;=Loan!$B$7,$C153,MIN($C153,MAX(0,Loan!$B$14-$E153))))</f>
        <v>18989.670000000002</v>
      </c>
      <c r="G153" s="28">
        <f>IF($C153="","",MAX(0,MIN($C153-$F153,N(Loan!$B$9)+IF(149=N(Loan!$B$11),N(Loan!$B$10),0))))</f>
        <v>0</v>
      </c>
      <c r="H153" s="28">
        <f t="shared" si="7"/>
        <v>1588183.46</v>
      </c>
      <c r="I153" s="28">
        <f>IF($C153="","",SUM($E$5:$E153))</f>
        <v>2813881.15</v>
      </c>
      <c r="J153" s="29"/>
    </row>
    <row r="154" spans="1:10" x14ac:dyDescent="0.3">
      <c r="A154" s="26">
        <f>IF($C154="","",150)</f>
        <v>150</v>
      </c>
      <c r="B154" s="27">
        <f>IF($C154="","",EDATE(Loan!$B$8,150-1))</f>
        <v>50076</v>
      </c>
      <c r="C154" s="28">
        <f t="shared" si="8"/>
        <v>1588183.46</v>
      </c>
      <c r="D154" s="28">
        <f t="shared" si="6"/>
        <v>30373.809999999998</v>
      </c>
      <c r="E154" s="28">
        <f>IF($C154="","",ROUND($C154*Loan!$B$6/12,2))</f>
        <v>11249.63</v>
      </c>
      <c r="F154" s="28">
        <f>IF($C154="","",IF(150&gt;=Loan!$B$7,$C154,MIN($C154,MAX(0,Loan!$B$14-$E154))))</f>
        <v>19124.18</v>
      </c>
      <c r="G154" s="28">
        <f>IF($C154="","",MAX(0,MIN($C154-$F154,N(Loan!$B$9)+IF(150=N(Loan!$B$11),N(Loan!$B$10),0))))</f>
        <v>0</v>
      </c>
      <c r="H154" s="28">
        <f t="shared" si="7"/>
        <v>1569059.28</v>
      </c>
      <c r="I154" s="28">
        <f>IF($C154="","",SUM($E$5:$E154))</f>
        <v>2825130.78</v>
      </c>
      <c r="J154" s="29"/>
    </row>
    <row r="155" spans="1:10" x14ac:dyDescent="0.3">
      <c r="A155" s="26">
        <f>IF($C155="","",151)</f>
        <v>151</v>
      </c>
      <c r="B155" s="27">
        <f>IF($C155="","",EDATE(Loan!$B$8,151-1))</f>
        <v>50104</v>
      </c>
      <c r="C155" s="28">
        <f t="shared" si="8"/>
        <v>1569059.28</v>
      </c>
      <c r="D155" s="28">
        <f t="shared" si="6"/>
        <v>30373.809999999998</v>
      </c>
      <c r="E155" s="28">
        <f>IF($C155="","",ROUND($C155*Loan!$B$6/12,2))</f>
        <v>11114.17</v>
      </c>
      <c r="F155" s="28">
        <f>IF($C155="","",IF(151&gt;=Loan!$B$7,$C155,MIN($C155,MAX(0,Loan!$B$14-$E155))))</f>
        <v>19259.64</v>
      </c>
      <c r="G155" s="28">
        <f>IF($C155="","",MAX(0,MIN($C155-$F155,N(Loan!$B$9)+IF(151=N(Loan!$B$11),N(Loan!$B$10),0))))</f>
        <v>0</v>
      </c>
      <c r="H155" s="28">
        <f t="shared" si="7"/>
        <v>1549799.64</v>
      </c>
      <c r="I155" s="28">
        <f>IF($C155="","",SUM($E$5:$E155))</f>
        <v>2836244.9499999997</v>
      </c>
      <c r="J155" s="29"/>
    </row>
    <row r="156" spans="1:10" x14ac:dyDescent="0.3">
      <c r="A156" s="26">
        <f>IF($C156="","",152)</f>
        <v>152</v>
      </c>
      <c r="B156" s="27">
        <f>IF($C156="","",EDATE(Loan!$B$8,152-1))</f>
        <v>50135</v>
      </c>
      <c r="C156" s="28">
        <f t="shared" si="8"/>
        <v>1549799.64</v>
      </c>
      <c r="D156" s="28">
        <f t="shared" si="6"/>
        <v>30373.81</v>
      </c>
      <c r="E156" s="28">
        <f>IF($C156="","",ROUND($C156*Loan!$B$6/12,2))</f>
        <v>10977.75</v>
      </c>
      <c r="F156" s="28">
        <f>IF($C156="","",IF(152&gt;=Loan!$B$7,$C156,MIN($C156,MAX(0,Loan!$B$14-$E156))))</f>
        <v>19396.060000000001</v>
      </c>
      <c r="G156" s="28">
        <f>IF($C156="","",MAX(0,MIN($C156-$F156,N(Loan!$B$9)+IF(152=N(Loan!$B$11),N(Loan!$B$10),0))))</f>
        <v>0</v>
      </c>
      <c r="H156" s="28">
        <f t="shared" si="7"/>
        <v>1530403.58</v>
      </c>
      <c r="I156" s="28">
        <f>IF($C156="","",SUM($E$5:$E156))</f>
        <v>2847222.6999999997</v>
      </c>
      <c r="J156" s="29"/>
    </row>
    <row r="157" spans="1:10" x14ac:dyDescent="0.3">
      <c r="A157" s="26">
        <f>IF($C157="","",153)</f>
        <v>153</v>
      </c>
      <c r="B157" s="27">
        <f>IF($C157="","",EDATE(Loan!$B$8,153-1))</f>
        <v>50165</v>
      </c>
      <c r="C157" s="28">
        <f t="shared" si="8"/>
        <v>1530403.58</v>
      </c>
      <c r="D157" s="28">
        <f t="shared" si="6"/>
        <v>30373.81</v>
      </c>
      <c r="E157" s="28">
        <f>IF($C157="","",ROUND($C157*Loan!$B$6/12,2))</f>
        <v>10840.36</v>
      </c>
      <c r="F157" s="28">
        <f>IF($C157="","",IF(153&gt;=Loan!$B$7,$C157,MIN($C157,MAX(0,Loan!$B$14-$E157))))</f>
        <v>19533.45</v>
      </c>
      <c r="G157" s="28">
        <f>IF($C157="","",MAX(0,MIN($C157-$F157,N(Loan!$B$9)+IF(153=N(Loan!$B$11),N(Loan!$B$10),0))))</f>
        <v>0</v>
      </c>
      <c r="H157" s="28">
        <f t="shared" si="7"/>
        <v>1510870.13</v>
      </c>
      <c r="I157" s="28">
        <f>IF($C157="","",SUM($E$5:$E157))</f>
        <v>2858063.0599999996</v>
      </c>
      <c r="J157" s="29"/>
    </row>
    <row r="158" spans="1:10" x14ac:dyDescent="0.3">
      <c r="A158" s="26">
        <f>IF($C158="","",154)</f>
        <v>154</v>
      </c>
      <c r="B158" s="27">
        <f>IF($C158="","",EDATE(Loan!$B$8,154-1))</f>
        <v>50196</v>
      </c>
      <c r="C158" s="28">
        <f t="shared" si="8"/>
        <v>1510870.13</v>
      </c>
      <c r="D158" s="28">
        <f t="shared" si="6"/>
        <v>30373.81</v>
      </c>
      <c r="E158" s="28">
        <f>IF($C158="","",ROUND($C158*Loan!$B$6/12,2))</f>
        <v>10702</v>
      </c>
      <c r="F158" s="28">
        <f>IF($C158="","",IF(154&gt;=Loan!$B$7,$C158,MIN($C158,MAX(0,Loan!$B$14-$E158))))</f>
        <v>19671.810000000001</v>
      </c>
      <c r="G158" s="28">
        <f>IF($C158="","",MAX(0,MIN($C158-$F158,N(Loan!$B$9)+IF(154=N(Loan!$B$11),N(Loan!$B$10),0))))</f>
        <v>0</v>
      </c>
      <c r="H158" s="28">
        <f t="shared" si="7"/>
        <v>1491198.32</v>
      </c>
      <c r="I158" s="28">
        <f>IF($C158="","",SUM($E$5:$E158))</f>
        <v>2868765.0599999996</v>
      </c>
      <c r="J158" s="29"/>
    </row>
    <row r="159" spans="1:10" x14ac:dyDescent="0.3">
      <c r="A159" s="26">
        <f>IF($C159="","",155)</f>
        <v>155</v>
      </c>
      <c r="B159" s="27">
        <f>IF($C159="","",EDATE(Loan!$B$8,155-1))</f>
        <v>50226</v>
      </c>
      <c r="C159" s="28">
        <f t="shared" si="8"/>
        <v>1491198.32</v>
      </c>
      <c r="D159" s="28">
        <f t="shared" si="6"/>
        <v>30373.810000000005</v>
      </c>
      <c r="E159" s="28">
        <f>IF($C159="","",ROUND($C159*Loan!$B$6/12,2))</f>
        <v>10562.65</v>
      </c>
      <c r="F159" s="28">
        <f>IF($C159="","",IF(155&gt;=Loan!$B$7,$C159,MIN($C159,MAX(0,Loan!$B$14-$E159))))</f>
        <v>19811.160000000003</v>
      </c>
      <c r="G159" s="28">
        <f>IF($C159="","",MAX(0,MIN($C159-$F159,N(Loan!$B$9)+IF(155=N(Loan!$B$11),N(Loan!$B$10),0))))</f>
        <v>0</v>
      </c>
      <c r="H159" s="28">
        <f t="shared" si="7"/>
        <v>1471387.16</v>
      </c>
      <c r="I159" s="28">
        <f>IF($C159="","",SUM($E$5:$E159))</f>
        <v>2879327.7099999995</v>
      </c>
      <c r="J159" s="29"/>
    </row>
    <row r="160" spans="1:10" x14ac:dyDescent="0.3">
      <c r="A160" s="26">
        <f>IF($C160="","",156)</f>
        <v>156</v>
      </c>
      <c r="B160" s="27">
        <f>IF($C160="","",EDATE(Loan!$B$8,156-1))</f>
        <v>50257</v>
      </c>
      <c r="C160" s="28">
        <f t="shared" si="8"/>
        <v>1471387.16</v>
      </c>
      <c r="D160" s="28">
        <f t="shared" si="6"/>
        <v>30373.810000000005</v>
      </c>
      <c r="E160" s="28">
        <f>IF($C160="","",ROUND($C160*Loan!$B$6/12,2))</f>
        <v>10422.33</v>
      </c>
      <c r="F160" s="28">
        <f>IF($C160="","",IF(156&gt;=Loan!$B$7,$C160,MIN($C160,MAX(0,Loan!$B$14-$E160))))</f>
        <v>19951.480000000003</v>
      </c>
      <c r="G160" s="28">
        <f>IF($C160="","",MAX(0,MIN($C160-$F160,N(Loan!$B$9)+IF(156=N(Loan!$B$11),N(Loan!$B$10),0))))</f>
        <v>0</v>
      </c>
      <c r="H160" s="28">
        <f t="shared" si="7"/>
        <v>1451435.68</v>
      </c>
      <c r="I160" s="28">
        <f>IF($C160="","",SUM($E$5:$E160))</f>
        <v>2889750.0399999996</v>
      </c>
      <c r="J160" s="29"/>
    </row>
    <row r="161" spans="1:10" x14ac:dyDescent="0.3">
      <c r="A161" s="26">
        <f>IF($C161="","",157)</f>
        <v>157</v>
      </c>
      <c r="B161" s="27">
        <f>IF($C161="","",EDATE(Loan!$B$8,157-1))</f>
        <v>50288</v>
      </c>
      <c r="C161" s="28">
        <f t="shared" si="8"/>
        <v>1451435.68</v>
      </c>
      <c r="D161" s="28">
        <f t="shared" si="6"/>
        <v>30373.81</v>
      </c>
      <c r="E161" s="28">
        <f>IF($C161="","",ROUND($C161*Loan!$B$6/12,2))</f>
        <v>10281</v>
      </c>
      <c r="F161" s="28">
        <f>IF($C161="","",IF(157&gt;=Loan!$B$7,$C161,MIN($C161,MAX(0,Loan!$B$14-$E161))))</f>
        <v>20092.810000000001</v>
      </c>
      <c r="G161" s="28">
        <f>IF($C161="","",MAX(0,MIN($C161-$F161,N(Loan!$B$9)+IF(157=N(Loan!$B$11),N(Loan!$B$10),0))))</f>
        <v>0</v>
      </c>
      <c r="H161" s="28">
        <f t="shared" si="7"/>
        <v>1431342.87</v>
      </c>
      <c r="I161" s="28">
        <f>IF($C161="","",SUM($E$5:$E161))</f>
        <v>2900031.0399999996</v>
      </c>
      <c r="J161" s="29"/>
    </row>
    <row r="162" spans="1:10" x14ac:dyDescent="0.3">
      <c r="A162" s="26">
        <f>IF($C162="","",158)</f>
        <v>158</v>
      </c>
      <c r="B162" s="27">
        <f>IF($C162="","",EDATE(Loan!$B$8,158-1))</f>
        <v>50318</v>
      </c>
      <c r="C162" s="28">
        <f t="shared" si="8"/>
        <v>1431342.87</v>
      </c>
      <c r="D162" s="28">
        <f t="shared" si="6"/>
        <v>30373.81</v>
      </c>
      <c r="E162" s="28">
        <f>IF($C162="","",ROUND($C162*Loan!$B$6/12,2))</f>
        <v>10138.68</v>
      </c>
      <c r="F162" s="28">
        <f>IF($C162="","",IF(158&gt;=Loan!$B$7,$C162,MIN($C162,MAX(0,Loan!$B$14-$E162))))</f>
        <v>20235.13</v>
      </c>
      <c r="G162" s="28">
        <f>IF($C162="","",MAX(0,MIN($C162-$F162,N(Loan!$B$9)+IF(158=N(Loan!$B$11),N(Loan!$B$10),0))))</f>
        <v>0</v>
      </c>
      <c r="H162" s="28">
        <f t="shared" si="7"/>
        <v>1411107.74</v>
      </c>
      <c r="I162" s="28">
        <f>IF($C162="","",SUM($E$5:$E162))</f>
        <v>2910169.7199999997</v>
      </c>
      <c r="J162" s="29"/>
    </row>
    <row r="163" spans="1:10" x14ac:dyDescent="0.3">
      <c r="A163" s="26">
        <f>IF($C163="","",159)</f>
        <v>159</v>
      </c>
      <c r="B163" s="27">
        <f>IF($C163="","",EDATE(Loan!$B$8,159-1))</f>
        <v>50349</v>
      </c>
      <c r="C163" s="28">
        <f t="shared" si="8"/>
        <v>1411107.74</v>
      </c>
      <c r="D163" s="28">
        <f t="shared" si="6"/>
        <v>30373.809999999998</v>
      </c>
      <c r="E163" s="28">
        <f>IF($C163="","",ROUND($C163*Loan!$B$6/12,2))</f>
        <v>9995.35</v>
      </c>
      <c r="F163" s="28">
        <f>IF($C163="","",IF(159&gt;=Loan!$B$7,$C163,MIN($C163,MAX(0,Loan!$B$14-$E163))))</f>
        <v>20378.46</v>
      </c>
      <c r="G163" s="28">
        <f>IF($C163="","",MAX(0,MIN($C163-$F163,N(Loan!$B$9)+IF(159=N(Loan!$B$11),N(Loan!$B$10),0))))</f>
        <v>0</v>
      </c>
      <c r="H163" s="28">
        <f t="shared" si="7"/>
        <v>1390729.28</v>
      </c>
      <c r="I163" s="28">
        <f>IF($C163="","",SUM($E$5:$E163))</f>
        <v>2920165.07</v>
      </c>
      <c r="J163" s="29"/>
    </row>
    <row r="164" spans="1:10" x14ac:dyDescent="0.3">
      <c r="A164" s="26">
        <f>IF($C164="","",160)</f>
        <v>160</v>
      </c>
      <c r="B164" s="27">
        <f>IF($C164="","",EDATE(Loan!$B$8,160-1))</f>
        <v>50379</v>
      </c>
      <c r="C164" s="28">
        <f t="shared" si="8"/>
        <v>1390729.28</v>
      </c>
      <c r="D164" s="28">
        <f t="shared" si="6"/>
        <v>30373.81</v>
      </c>
      <c r="E164" s="28">
        <f>IF($C164="","",ROUND($C164*Loan!$B$6/12,2))</f>
        <v>9851</v>
      </c>
      <c r="F164" s="28">
        <f>IF($C164="","",IF(160&gt;=Loan!$B$7,$C164,MIN($C164,MAX(0,Loan!$B$14-$E164))))</f>
        <v>20522.810000000001</v>
      </c>
      <c r="G164" s="28">
        <f>IF($C164="","",MAX(0,MIN($C164-$F164,N(Loan!$B$9)+IF(160=N(Loan!$B$11),N(Loan!$B$10),0))))</f>
        <v>0</v>
      </c>
      <c r="H164" s="28">
        <f t="shared" si="7"/>
        <v>1370206.47</v>
      </c>
      <c r="I164" s="28">
        <f>IF($C164="","",SUM($E$5:$E164))</f>
        <v>2930016.07</v>
      </c>
      <c r="J164" s="29"/>
    </row>
    <row r="165" spans="1:10" x14ac:dyDescent="0.3">
      <c r="A165" s="26">
        <f>IF($C165="","",161)</f>
        <v>161</v>
      </c>
      <c r="B165" s="27">
        <f>IF($C165="","",EDATE(Loan!$B$8,161-1))</f>
        <v>50410</v>
      </c>
      <c r="C165" s="28">
        <f t="shared" si="8"/>
        <v>1370206.47</v>
      </c>
      <c r="D165" s="28">
        <f t="shared" si="6"/>
        <v>30373.809999999998</v>
      </c>
      <c r="E165" s="28">
        <f>IF($C165="","",ROUND($C165*Loan!$B$6/12,2))</f>
        <v>9705.6299999999992</v>
      </c>
      <c r="F165" s="28">
        <f>IF($C165="","",IF(161&gt;=Loan!$B$7,$C165,MIN($C165,MAX(0,Loan!$B$14-$E165))))</f>
        <v>20668.18</v>
      </c>
      <c r="G165" s="28">
        <f>IF($C165="","",MAX(0,MIN($C165-$F165,N(Loan!$B$9)+IF(161=N(Loan!$B$11),N(Loan!$B$10),0))))</f>
        <v>0</v>
      </c>
      <c r="H165" s="28">
        <f t="shared" si="7"/>
        <v>1349538.29</v>
      </c>
      <c r="I165" s="28">
        <f>IF($C165="","",SUM($E$5:$E165))</f>
        <v>2939721.6999999997</v>
      </c>
      <c r="J165" s="29"/>
    </row>
    <row r="166" spans="1:10" x14ac:dyDescent="0.3">
      <c r="A166" s="26">
        <f>IF($C166="","",162)</f>
        <v>162</v>
      </c>
      <c r="B166" s="27">
        <f>IF($C166="","",EDATE(Loan!$B$8,162-1))</f>
        <v>50441</v>
      </c>
      <c r="C166" s="28">
        <f t="shared" si="8"/>
        <v>1349538.29</v>
      </c>
      <c r="D166" s="28">
        <f t="shared" si="6"/>
        <v>30373.81</v>
      </c>
      <c r="E166" s="28">
        <f>IF($C166="","",ROUND($C166*Loan!$B$6/12,2))</f>
        <v>9559.23</v>
      </c>
      <c r="F166" s="28">
        <f>IF($C166="","",IF(162&gt;=Loan!$B$7,$C166,MIN($C166,MAX(0,Loan!$B$14-$E166))))</f>
        <v>20814.580000000002</v>
      </c>
      <c r="G166" s="28">
        <f>IF($C166="","",MAX(0,MIN($C166-$F166,N(Loan!$B$9)+IF(162=N(Loan!$B$11),N(Loan!$B$10),0))))</f>
        <v>0</v>
      </c>
      <c r="H166" s="28">
        <f t="shared" si="7"/>
        <v>1328723.71</v>
      </c>
      <c r="I166" s="28">
        <f>IF($C166="","",SUM($E$5:$E166))</f>
        <v>2949280.9299999997</v>
      </c>
      <c r="J166" s="29"/>
    </row>
    <row r="167" spans="1:10" x14ac:dyDescent="0.3">
      <c r="A167" s="26">
        <f>IF($C167="","",163)</f>
        <v>163</v>
      </c>
      <c r="B167" s="27">
        <f>IF($C167="","",EDATE(Loan!$B$8,163-1))</f>
        <v>50469</v>
      </c>
      <c r="C167" s="28">
        <f t="shared" si="8"/>
        <v>1328723.71</v>
      </c>
      <c r="D167" s="28">
        <f t="shared" si="6"/>
        <v>30373.81</v>
      </c>
      <c r="E167" s="28">
        <f>IF($C167="","",ROUND($C167*Loan!$B$6/12,2))</f>
        <v>9411.7900000000009</v>
      </c>
      <c r="F167" s="28">
        <f>IF($C167="","",IF(163&gt;=Loan!$B$7,$C167,MIN($C167,MAX(0,Loan!$B$14-$E167))))</f>
        <v>20962.02</v>
      </c>
      <c r="G167" s="28">
        <f>IF($C167="","",MAX(0,MIN($C167-$F167,N(Loan!$B$9)+IF(163=N(Loan!$B$11),N(Loan!$B$10),0))))</f>
        <v>0</v>
      </c>
      <c r="H167" s="28">
        <f t="shared" si="7"/>
        <v>1307761.69</v>
      </c>
      <c r="I167" s="28">
        <f>IF($C167="","",SUM($E$5:$E167))</f>
        <v>2958692.7199999997</v>
      </c>
      <c r="J167" s="29"/>
    </row>
    <row r="168" spans="1:10" x14ac:dyDescent="0.3">
      <c r="A168" s="26">
        <f>IF($C168="","",164)</f>
        <v>164</v>
      </c>
      <c r="B168" s="27">
        <f>IF($C168="","",EDATE(Loan!$B$8,164-1))</f>
        <v>50500</v>
      </c>
      <c r="C168" s="28">
        <f t="shared" si="8"/>
        <v>1307761.69</v>
      </c>
      <c r="D168" s="28">
        <f t="shared" si="6"/>
        <v>30373.809999999998</v>
      </c>
      <c r="E168" s="28">
        <f>IF($C168="","",ROUND($C168*Loan!$B$6/12,2))</f>
        <v>9263.31</v>
      </c>
      <c r="F168" s="28">
        <f>IF($C168="","",IF(164&gt;=Loan!$B$7,$C168,MIN($C168,MAX(0,Loan!$B$14-$E168))))</f>
        <v>21110.5</v>
      </c>
      <c r="G168" s="28">
        <f>IF($C168="","",MAX(0,MIN($C168-$F168,N(Loan!$B$9)+IF(164=N(Loan!$B$11),N(Loan!$B$10),0))))</f>
        <v>0</v>
      </c>
      <c r="H168" s="28">
        <f t="shared" si="7"/>
        <v>1286651.19</v>
      </c>
      <c r="I168" s="28">
        <f>IF($C168="","",SUM($E$5:$E168))</f>
        <v>2967956.03</v>
      </c>
      <c r="J168" s="29"/>
    </row>
    <row r="169" spans="1:10" x14ac:dyDescent="0.3">
      <c r="A169" s="26">
        <f>IF($C169="","",165)</f>
        <v>165</v>
      </c>
      <c r="B169" s="27">
        <f>IF($C169="","",EDATE(Loan!$B$8,165-1))</f>
        <v>50530</v>
      </c>
      <c r="C169" s="28">
        <f t="shared" si="8"/>
        <v>1286651.19</v>
      </c>
      <c r="D169" s="28">
        <f t="shared" si="6"/>
        <v>30373.809999999998</v>
      </c>
      <c r="E169" s="28">
        <f>IF($C169="","",ROUND($C169*Loan!$B$6/12,2))</f>
        <v>9113.7800000000007</v>
      </c>
      <c r="F169" s="28">
        <f>IF($C169="","",IF(165&gt;=Loan!$B$7,$C169,MIN($C169,MAX(0,Loan!$B$14-$E169))))</f>
        <v>21260.03</v>
      </c>
      <c r="G169" s="28">
        <f>IF($C169="","",MAX(0,MIN($C169-$F169,N(Loan!$B$9)+IF(165=N(Loan!$B$11),N(Loan!$B$10),0))))</f>
        <v>0</v>
      </c>
      <c r="H169" s="28">
        <f t="shared" si="7"/>
        <v>1265391.1599999999</v>
      </c>
      <c r="I169" s="28">
        <f>IF($C169="","",SUM($E$5:$E169))</f>
        <v>2977069.8099999996</v>
      </c>
      <c r="J169" s="29"/>
    </row>
    <row r="170" spans="1:10" x14ac:dyDescent="0.3">
      <c r="A170" s="26">
        <f>IF($C170="","",166)</f>
        <v>166</v>
      </c>
      <c r="B170" s="27">
        <f>IF($C170="","",EDATE(Loan!$B$8,166-1))</f>
        <v>50561</v>
      </c>
      <c r="C170" s="28">
        <f t="shared" si="8"/>
        <v>1265391.1599999999</v>
      </c>
      <c r="D170" s="28">
        <f t="shared" si="6"/>
        <v>30373.810000000005</v>
      </c>
      <c r="E170" s="28">
        <f>IF($C170="","",ROUND($C170*Loan!$B$6/12,2))</f>
        <v>8963.19</v>
      </c>
      <c r="F170" s="28">
        <f>IF($C170="","",IF(166&gt;=Loan!$B$7,$C170,MIN($C170,MAX(0,Loan!$B$14-$E170))))</f>
        <v>21410.620000000003</v>
      </c>
      <c r="G170" s="28">
        <f>IF($C170="","",MAX(0,MIN($C170-$F170,N(Loan!$B$9)+IF(166=N(Loan!$B$11),N(Loan!$B$10),0))))</f>
        <v>0</v>
      </c>
      <c r="H170" s="28">
        <f t="shared" si="7"/>
        <v>1243980.54</v>
      </c>
      <c r="I170" s="28">
        <f>IF($C170="","",SUM($E$5:$E170))</f>
        <v>2986032.9999999995</v>
      </c>
      <c r="J170" s="29"/>
    </row>
    <row r="171" spans="1:10" x14ac:dyDescent="0.3">
      <c r="A171" s="26">
        <f>IF($C171="","",167)</f>
        <v>167</v>
      </c>
      <c r="B171" s="27">
        <f>IF($C171="","",EDATE(Loan!$B$8,167-1))</f>
        <v>50591</v>
      </c>
      <c r="C171" s="28">
        <f t="shared" si="8"/>
        <v>1243980.54</v>
      </c>
      <c r="D171" s="28">
        <f t="shared" si="6"/>
        <v>30373.809999999998</v>
      </c>
      <c r="E171" s="28">
        <f>IF($C171="","",ROUND($C171*Loan!$B$6/12,2))</f>
        <v>8811.5300000000007</v>
      </c>
      <c r="F171" s="28">
        <f>IF($C171="","",IF(167&gt;=Loan!$B$7,$C171,MIN($C171,MAX(0,Loan!$B$14-$E171))))</f>
        <v>21562.28</v>
      </c>
      <c r="G171" s="28">
        <f>IF($C171="","",MAX(0,MIN($C171-$F171,N(Loan!$B$9)+IF(167=N(Loan!$B$11),N(Loan!$B$10),0))))</f>
        <v>0</v>
      </c>
      <c r="H171" s="28">
        <f t="shared" si="7"/>
        <v>1222418.26</v>
      </c>
      <c r="I171" s="28">
        <f>IF($C171="","",SUM($E$5:$E171))</f>
        <v>2994844.5299999993</v>
      </c>
      <c r="J171" s="29"/>
    </row>
    <row r="172" spans="1:10" x14ac:dyDescent="0.3">
      <c r="A172" s="26">
        <f>IF($C172="","",168)</f>
        <v>168</v>
      </c>
      <c r="B172" s="27">
        <f>IF($C172="","",EDATE(Loan!$B$8,168-1))</f>
        <v>50622</v>
      </c>
      <c r="C172" s="28">
        <f t="shared" si="8"/>
        <v>1222418.26</v>
      </c>
      <c r="D172" s="28">
        <f t="shared" si="6"/>
        <v>30373.81</v>
      </c>
      <c r="E172" s="28">
        <f>IF($C172="","",ROUND($C172*Loan!$B$6/12,2))</f>
        <v>8658.7999999999993</v>
      </c>
      <c r="F172" s="28">
        <f>IF($C172="","",IF(168&gt;=Loan!$B$7,$C172,MIN($C172,MAX(0,Loan!$B$14-$E172))))</f>
        <v>21715.010000000002</v>
      </c>
      <c r="G172" s="28">
        <f>IF($C172="","",MAX(0,MIN($C172-$F172,N(Loan!$B$9)+IF(168=N(Loan!$B$11),N(Loan!$B$10),0))))</f>
        <v>0</v>
      </c>
      <c r="H172" s="28">
        <f t="shared" si="7"/>
        <v>1200703.25</v>
      </c>
      <c r="I172" s="28">
        <f>IF($C172="","",SUM($E$5:$E172))</f>
        <v>3003503.3299999991</v>
      </c>
      <c r="J172" s="29"/>
    </row>
    <row r="173" spans="1:10" x14ac:dyDescent="0.3">
      <c r="A173" s="26">
        <f>IF($C173="","",169)</f>
        <v>169</v>
      </c>
      <c r="B173" s="27">
        <f>IF($C173="","",EDATE(Loan!$B$8,169-1))</f>
        <v>50653</v>
      </c>
      <c r="C173" s="28">
        <f t="shared" si="8"/>
        <v>1200703.25</v>
      </c>
      <c r="D173" s="28">
        <f t="shared" si="6"/>
        <v>30373.81</v>
      </c>
      <c r="E173" s="28">
        <f>IF($C173="","",ROUND($C173*Loan!$B$6/12,2))</f>
        <v>8504.98</v>
      </c>
      <c r="F173" s="28">
        <f>IF($C173="","",IF(169&gt;=Loan!$B$7,$C173,MIN($C173,MAX(0,Loan!$B$14-$E173))))</f>
        <v>21868.83</v>
      </c>
      <c r="G173" s="28">
        <f>IF($C173="","",MAX(0,MIN($C173-$F173,N(Loan!$B$9)+IF(169=N(Loan!$B$11),N(Loan!$B$10),0))))</f>
        <v>0</v>
      </c>
      <c r="H173" s="28">
        <f t="shared" si="7"/>
        <v>1178834.42</v>
      </c>
      <c r="I173" s="28">
        <f>IF($C173="","",SUM($E$5:$E173))</f>
        <v>3012008.3099999991</v>
      </c>
      <c r="J173" s="29"/>
    </row>
    <row r="174" spans="1:10" x14ac:dyDescent="0.3">
      <c r="A174" s="26">
        <f>IF($C174="","",170)</f>
        <v>170</v>
      </c>
      <c r="B174" s="27">
        <f>IF($C174="","",EDATE(Loan!$B$8,170-1))</f>
        <v>50683</v>
      </c>
      <c r="C174" s="28">
        <f t="shared" si="8"/>
        <v>1178834.42</v>
      </c>
      <c r="D174" s="28">
        <f t="shared" si="6"/>
        <v>30373.810000000005</v>
      </c>
      <c r="E174" s="28">
        <f>IF($C174="","",ROUND($C174*Loan!$B$6/12,2))</f>
        <v>8350.08</v>
      </c>
      <c r="F174" s="28">
        <f>IF($C174="","",IF(170&gt;=Loan!$B$7,$C174,MIN($C174,MAX(0,Loan!$B$14-$E174))))</f>
        <v>22023.730000000003</v>
      </c>
      <c r="G174" s="28">
        <f>IF($C174="","",MAX(0,MIN($C174-$F174,N(Loan!$B$9)+IF(170=N(Loan!$B$11),N(Loan!$B$10),0))))</f>
        <v>0</v>
      </c>
      <c r="H174" s="28">
        <f t="shared" si="7"/>
        <v>1156810.69</v>
      </c>
      <c r="I174" s="28">
        <f>IF($C174="","",SUM($E$5:$E174))</f>
        <v>3020358.3899999992</v>
      </c>
      <c r="J174" s="29"/>
    </row>
    <row r="175" spans="1:10" x14ac:dyDescent="0.3">
      <c r="A175" s="26">
        <f>IF($C175="","",171)</f>
        <v>171</v>
      </c>
      <c r="B175" s="27">
        <f>IF($C175="","",EDATE(Loan!$B$8,171-1))</f>
        <v>50714</v>
      </c>
      <c r="C175" s="28">
        <f t="shared" si="8"/>
        <v>1156810.69</v>
      </c>
      <c r="D175" s="28">
        <f t="shared" si="6"/>
        <v>30373.810000000005</v>
      </c>
      <c r="E175" s="28">
        <f>IF($C175="","",ROUND($C175*Loan!$B$6/12,2))</f>
        <v>8194.08</v>
      </c>
      <c r="F175" s="28">
        <f>IF($C175="","",IF(171&gt;=Loan!$B$7,$C175,MIN($C175,MAX(0,Loan!$B$14-$E175))))</f>
        <v>22179.730000000003</v>
      </c>
      <c r="G175" s="28">
        <f>IF($C175="","",MAX(0,MIN($C175-$F175,N(Loan!$B$9)+IF(171=N(Loan!$B$11),N(Loan!$B$10),0))))</f>
        <v>0</v>
      </c>
      <c r="H175" s="28">
        <f t="shared" si="7"/>
        <v>1134630.96</v>
      </c>
      <c r="I175" s="28">
        <f>IF($C175="","",SUM($E$5:$E175))</f>
        <v>3028552.4699999993</v>
      </c>
      <c r="J175" s="29"/>
    </row>
    <row r="176" spans="1:10" x14ac:dyDescent="0.3">
      <c r="A176" s="26">
        <f>IF($C176="","",172)</f>
        <v>172</v>
      </c>
      <c r="B176" s="27">
        <f>IF($C176="","",EDATE(Loan!$B$8,172-1))</f>
        <v>50744</v>
      </c>
      <c r="C176" s="28">
        <f t="shared" si="8"/>
        <v>1134630.96</v>
      </c>
      <c r="D176" s="28">
        <f t="shared" si="6"/>
        <v>30373.81</v>
      </c>
      <c r="E176" s="28">
        <f>IF($C176="","",ROUND($C176*Loan!$B$6/12,2))</f>
        <v>8036.97</v>
      </c>
      <c r="F176" s="28">
        <f>IF($C176="","",IF(172&gt;=Loan!$B$7,$C176,MIN($C176,MAX(0,Loan!$B$14-$E176))))</f>
        <v>22336.84</v>
      </c>
      <c r="G176" s="28">
        <f>IF($C176="","",MAX(0,MIN($C176-$F176,N(Loan!$B$9)+IF(172=N(Loan!$B$11),N(Loan!$B$10),0))))</f>
        <v>0</v>
      </c>
      <c r="H176" s="28">
        <f t="shared" si="7"/>
        <v>1112294.1200000001</v>
      </c>
      <c r="I176" s="28">
        <f>IF($C176="","",SUM($E$5:$E176))</f>
        <v>3036589.4399999995</v>
      </c>
      <c r="J176" s="29"/>
    </row>
    <row r="177" spans="1:10" x14ac:dyDescent="0.3">
      <c r="A177" s="26">
        <f>IF($C177="","",173)</f>
        <v>173</v>
      </c>
      <c r="B177" s="27">
        <f>IF($C177="","",EDATE(Loan!$B$8,173-1))</f>
        <v>50775</v>
      </c>
      <c r="C177" s="28">
        <f t="shared" si="8"/>
        <v>1112294.1200000001</v>
      </c>
      <c r="D177" s="28">
        <f t="shared" si="6"/>
        <v>30373.81</v>
      </c>
      <c r="E177" s="28">
        <f>IF($C177="","",ROUND($C177*Loan!$B$6/12,2))</f>
        <v>7878.75</v>
      </c>
      <c r="F177" s="28">
        <f>IF($C177="","",IF(173&gt;=Loan!$B$7,$C177,MIN($C177,MAX(0,Loan!$B$14-$E177))))</f>
        <v>22495.06</v>
      </c>
      <c r="G177" s="28">
        <f>IF($C177="","",MAX(0,MIN($C177-$F177,N(Loan!$B$9)+IF(173=N(Loan!$B$11),N(Loan!$B$10),0))))</f>
        <v>0</v>
      </c>
      <c r="H177" s="28">
        <f t="shared" si="7"/>
        <v>1089799.06</v>
      </c>
      <c r="I177" s="28">
        <f>IF($C177="","",SUM($E$5:$E177))</f>
        <v>3044468.1899999995</v>
      </c>
      <c r="J177" s="29"/>
    </row>
    <row r="178" spans="1:10" x14ac:dyDescent="0.3">
      <c r="A178" s="26">
        <f>IF($C178="","",174)</f>
        <v>174</v>
      </c>
      <c r="B178" s="27">
        <f>IF($C178="","",EDATE(Loan!$B$8,174-1))</f>
        <v>50806</v>
      </c>
      <c r="C178" s="28">
        <f t="shared" si="8"/>
        <v>1089799.06</v>
      </c>
      <c r="D178" s="28">
        <f t="shared" si="6"/>
        <v>30373.81</v>
      </c>
      <c r="E178" s="28">
        <f>IF($C178="","",ROUND($C178*Loan!$B$6/12,2))</f>
        <v>7719.41</v>
      </c>
      <c r="F178" s="28">
        <f>IF($C178="","",IF(174&gt;=Loan!$B$7,$C178,MIN($C178,MAX(0,Loan!$B$14-$E178))))</f>
        <v>22654.400000000001</v>
      </c>
      <c r="G178" s="28">
        <f>IF($C178="","",MAX(0,MIN($C178-$F178,N(Loan!$B$9)+IF(174=N(Loan!$B$11),N(Loan!$B$10),0))))</f>
        <v>0</v>
      </c>
      <c r="H178" s="28">
        <f t="shared" si="7"/>
        <v>1067144.6599999999</v>
      </c>
      <c r="I178" s="28">
        <f>IF($C178="","",SUM($E$5:$E178))</f>
        <v>3052187.5999999996</v>
      </c>
      <c r="J178" s="29"/>
    </row>
    <row r="179" spans="1:10" x14ac:dyDescent="0.3">
      <c r="A179" s="26">
        <f>IF($C179="","",175)</f>
        <v>175</v>
      </c>
      <c r="B179" s="27">
        <f>IF($C179="","",EDATE(Loan!$B$8,175-1))</f>
        <v>50834</v>
      </c>
      <c r="C179" s="28">
        <f t="shared" si="8"/>
        <v>1067144.6599999999</v>
      </c>
      <c r="D179" s="28">
        <f t="shared" si="6"/>
        <v>30373.81</v>
      </c>
      <c r="E179" s="28">
        <f>IF($C179="","",ROUND($C179*Loan!$B$6/12,2))</f>
        <v>7558.94</v>
      </c>
      <c r="F179" s="28">
        <f>IF($C179="","",IF(175&gt;=Loan!$B$7,$C179,MIN($C179,MAX(0,Loan!$B$14-$E179))))</f>
        <v>22814.870000000003</v>
      </c>
      <c r="G179" s="28">
        <f>IF($C179="","",MAX(0,MIN($C179-$F179,N(Loan!$B$9)+IF(175=N(Loan!$B$11),N(Loan!$B$10),0))))</f>
        <v>0</v>
      </c>
      <c r="H179" s="28">
        <f t="shared" si="7"/>
        <v>1044329.79</v>
      </c>
      <c r="I179" s="28">
        <f>IF($C179="","",SUM($E$5:$E179))</f>
        <v>3059746.5399999996</v>
      </c>
      <c r="J179" s="29"/>
    </row>
    <row r="180" spans="1:10" x14ac:dyDescent="0.3">
      <c r="A180" s="26">
        <f>IF($C180="","",176)</f>
        <v>176</v>
      </c>
      <c r="B180" s="27">
        <f>IF($C180="","",EDATE(Loan!$B$8,176-1))</f>
        <v>50865</v>
      </c>
      <c r="C180" s="28">
        <f t="shared" si="8"/>
        <v>1044329.79</v>
      </c>
      <c r="D180" s="28">
        <f t="shared" si="6"/>
        <v>30373.81</v>
      </c>
      <c r="E180" s="28">
        <f>IF($C180="","",ROUND($C180*Loan!$B$6/12,2))</f>
        <v>7397.34</v>
      </c>
      <c r="F180" s="28">
        <f>IF($C180="","",IF(176&gt;=Loan!$B$7,$C180,MIN($C180,MAX(0,Loan!$B$14-$E180))))</f>
        <v>22976.47</v>
      </c>
      <c r="G180" s="28">
        <f>IF($C180="","",MAX(0,MIN($C180-$F180,N(Loan!$B$9)+IF(176=N(Loan!$B$11),N(Loan!$B$10),0))))</f>
        <v>0</v>
      </c>
      <c r="H180" s="28">
        <f t="shared" si="7"/>
        <v>1021353.32</v>
      </c>
      <c r="I180" s="28">
        <f>IF($C180="","",SUM($E$5:$E180))</f>
        <v>3067143.8799999994</v>
      </c>
      <c r="J180" s="29"/>
    </row>
    <row r="181" spans="1:10" x14ac:dyDescent="0.3">
      <c r="A181" s="26">
        <f>IF($C181="","",177)</f>
        <v>177</v>
      </c>
      <c r="B181" s="27">
        <f>IF($C181="","",EDATE(Loan!$B$8,177-1))</f>
        <v>50895</v>
      </c>
      <c r="C181" s="28">
        <f t="shared" si="8"/>
        <v>1021353.32</v>
      </c>
      <c r="D181" s="28">
        <f t="shared" si="6"/>
        <v>30373.81</v>
      </c>
      <c r="E181" s="28">
        <f>IF($C181="","",ROUND($C181*Loan!$B$6/12,2))</f>
        <v>7234.59</v>
      </c>
      <c r="F181" s="28">
        <f>IF($C181="","",IF(177&gt;=Loan!$B$7,$C181,MIN($C181,MAX(0,Loan!$B$14-$E181))))</f>
        <v>23139.22</v>
      </c>
      <c r="G181" s="28">
        <f>IF($C181="","",MAX(0,MIN($C181-$F181,N(Loan!$B$9)+IF(177=N(Loan!$B$11),N(Loan!$B$10),0))))</f>
        <v>0</v>
      </c>
      <c r="H181" s="28">
        <f t="shared" si="7"/>
        <v>998214.1</v>
      </c>
      <c r="I181" s="28">
        <f>IF($C181="","",SUM($E$5:$E181))</f>
        <v>3074378.4699999993</v>
      </c>
      <c r="J181" s="29"/>
    </row>
    <row r="182" spans="1:10" x14ac:dyDescent="0.3">
      <c r="A182" s="26">
        <f>IF($C182="","",178)</f>
        <v>178</v>
      </c>
      <c r="B182" s="27">
        <f>IF($C182="","",EDATE(Loan!$B$8,178-1))</f>
        <v>50926</v>
      </c>
      <c r="C182" s="28">
        <f t="shared" si="8"/>
        <v>998214.1</v>
      </c>
      <c r="D182" s="28">
        <f t="shared" si="6"/>
        <v>30373.81</v>
      </c>
      <c r="E182" s="28">
        <f>IF($C182="","",ROUND($C182*Loan!$B$6/12,2))</f>
        <v>7070.68</v>
      </c>
      <c r="F182" s="28">
        <f>IF($C182="","",IF(178&gt;=Loan!$B$7,$C182,MIN($C182,MAX(0,Loan!$B$14-$E182))))</f>
        <v>23303.13</v>
      </c>
      <c r="G182" s="28">
        <f>IF($C182="","",MAX(0,MIN($C182-$F182,N(Loan!$B$9)+IF(178=N(Loan!$B$11),N(Loan!$B$10),0))))</f>
        <v>0</v>
      </c>
      <c r="H182" s="28">
        <f t="shared" si="7"/>
        <v>974910.97</v>
      </c>
      <c r="I182" s="28">
        <f>IF($C182="","",SUM($E$5:$E182))</f>
        <v>3081449.1499999994</v>
      </c>
      <c r="J182" s="29"/>
    </row>
    <row r="183" spans="1:10" x14ac:dyDescent="0.3">
      <c r="A183" s="26">
        <f>IF($C183="","",179)</f>
        <v>179</v>
      </c>
      <c r="B183" s="27">
        <f>IF($C183="","",EDATE(Loan!$B$8,179-1))</f>
        <v>50956</v>
      </c>
      <c r="C183" s="28">
        <f t="shared" si="8"/>
        <v>974910.97</v>
      </c>
      <c r="D183" s="28">
        <f t="shared" si="6"/>
        <v>30373.81</v>
      </c>
      <c r="E183" s="28">
        <f>IF($C183="","",ROUND($C183*Loan!$B$6/12,2))</f>
        <v>6905.62</v>
      </c>
      <c r="F183" s="28">
        <f>IF($C183="","",IF(179&gt;=Loan!$B$7,$C183,MIN($C183,MAX(0,Loan!$B$14-$E183))))</f>
        <v>23468.190000000002</v>
      </c>
      <c r="G183" s="28">
        <f>IF($C183="","",MAX(0,MIN($C183-$F183,N(Loan!$B$9)+IF(179=N(Loan!$B$11),N(Loan!$B$10),0))))</f>
        <v>0</v>
      </c>
      <c r="H183" s="28">
        <f t="shared" si="7"/>
        <v>951442.78</v>
      </c>
      <c r="I183" s="28">
        <f>IF($C183="","",SUM($E$5:$E183))</f>
        <v>3088354.7699999996</v>
      </c>
      <c r="J183" s="29"/>
    </row>
    <row r="184" spans="1:10" x14ac:dyDescent="0.3">
      <c r="A184" s="26">
        <f>IF($C184="","",180)</f>
        <v>180</v>
      </c>
      <c r="B184" s="27">
        <f>IF($C184="","",EDATE(Loan!$B$8,180-1))</f>
        <v>50987</v>
      </c>
      <c r="C184" s="28">
        <f t="shared" si="8"/>
        <v>951442.78</v>
      </c>
      <c r="D184" s="28">
        <f t="shared" si="6"/>
        <v>30373.81</v>
      </c>
      <c r="E184" s="28">
        <f>IF($C184="","",ROUND($C184*Loan!$B$6/12,2))</f>
        <v>6739.39</v>
      </c>
      <c r="F184" s="28">
        <f>IF($C184="","",IF(180&gt;=Loan!$B$7,$C184,MIN($C184,MAX(0,Loan!$B$14-$E184))))</f>
        <v>23634.420000000002</v>
      </c>
      <c r="G184" s="28">
        <f>IF($C184="","",MAX(0,MIN($C184-$F184,N(Loan!$B$9)+IF(180=N(Loan!$B$11),N(Loan!$B$10),0))))</f>
        <v>0</v>
      </c>
      <c r="H184" s="28">
        <f t="shared" si="7"/>
        <v>927808.36</v>
      </c>
      <c r="I184" s="28">
        <f>IF($C184="","",SUM($E$5:$E184))</f>
        <v>3095094.1599999997</v>
      </c>
      <c r="J184" s="29"/>
    </row>
    <row r="185" spans="1:10" x14ac:dyDescent="0.3">
      <c r="A185" s="26">
        <f>IF($C185="","",181)</f>
        <v>181</v>
      </c>
      <c r="B185" s="27">
        <f>IF($C185="","",EDATE(Loan!$B$8,181-1))</f>
        <v>51018</v>
      </c>
      <c r="C185" s="28">
        <f t="shared" si="8"/>
        <v>927808.36</v>
      </c>
      <c r="D185" s="28">
        <f t="shared" si="6"/>
        <v>30373.81</v>
      </c>
      <c r="E185" s="28">
        <f>IF($C185="","",ROUND($C185*Loan!$B$6/12,2))</f>
        <v>6571.98</v>
      </c>
      <c r="F185" s="28">
        <f>IF($C185="","",IF(181&gt;=Loan!$B$7,$C185,MIN($C185,MAX(0,Loan!$B$14-$E185))))</f>
        <v>23801.83</v>
      </c>
      <c r="G185" s="28">
        <f>IF($C185="","",MAX(0,MIN($C185-$F185,N(Loan!$B$9)+IF(181=N(Loan!$B$11),N(Loan!$B$10),0))))</f>
        <v>0</v>
      </c>
      <c r="H185" s="28">
        <f t="shared" si="7"/>
        <v>904006.53</v>
      </c>
      <c r="I185" s="28">
        <f>IF($C185="","",SUM($E$5:$E185))</f>
        <v>3101666.1399999997</v>
      </c>
      <c r="J185" s="29"/>
    </row>
    <row r="186" spans="1:10" x14ac:dyDescent="0.3">
      <c r="A186" s="26">
        <f>IF($C186="","",182)</f>
        <v>182</v>
      </c>
      <c r="B186" s="27">
        <f>IF($C186="","",EDATE(Loan!$B$8,182-1))</f>
        <v>51048</v>
      </c>
      <c r="C186" s="28">
        <f t="shared" si="8"/>
        <v>904006.53</v>
      </c>
      <c r="D186" s="28">
        <f t="shared" si="6"/>
        <v>30373.81</v>
      </c>
      <c r="E186" s="28">
        <f>IF($C186="","",ROUND($C186*Loan!$B$6/12,2))</f>
        <v>6403.38</v>
      </c>
      <c r="F186" s="28">
        <f>IF($C186="","",IF(182&gt;=Loan!$B$7,$C186,MIN($C186,MAX(0,Loan!$B$14-$E186))))</f>
        <v>23970.43</v>
      </c>
      <c r="G186" s="28">
        <f>IF($C186="","",MAX(0,MIN($C186-$F186,N(Loan!$B$9)+IF(182=N(Loan!$B$11),N(Loan!$B$10),0))))</f>
        <v>0</v>
      </c>
      <c r="H186" s="28">
        <f t="shared" si="7"/>
        <v>880036.1</v>
      </c>
      <c r="I186" s="28">
        <f>IF($C186="","",SUM($E$5:$E186))</f>
        <v>3108069.5199999996</v>
      </c>
      <c r="J186" s="29"/>
    </row>
    <row r="187" spans="1:10" x14ac:dyDescent="0.3">
      <c r="A187" s="26">
        <f>IF($C187="","",183)</f>
        <v>183</v>
      </c>
      <c r="B187" s="27">
        <f>IF($C187="","",EDATE(Loan!$B$8,183-1))</f>
        <v>51079</v>
      </c>
      <c r="C187" s="28">
        <f t="shared" si="8"/>
        <v>880036.1</v>
      </c>
      <c r="D187" s="28">
        <f t="shared" si="6"/>
        <v>30373.81</v>
      </c>
      <c r="E187" s="28">
        <f>IF($C187="","",ROUND($C187*Loan!$B$6/12,2))</f>
        <v>6233.59</v>
      </c>
      <c r="F187" s="28">
        <f>IF($C187="","",IF(183&gt;=Loan!$B$7,$C187,MIN($C187,MAX(0,Loan!$B$14-$E187))))</f>
        <v>24140.22</v>
      </c>
      <c r="G187" s="28">
        <f>IF($C187="","",MAX(0,MIN($C187-$F187,N(Loan!$B$9)+IF(183=N(Loan!$B$11),N(Loan!$B$10),0))))</f>
        <v>0</v>
      </c>
      <c r="H187" s="28">
        <f t="shared" si="7"/>
        <v>855895.88</v>
      </c>
      <c r="I187" s="28">
        <f>IF($C187="","",SUM($E$5:$E187))</f>
        <v>3114303.1099999994</v>
      </c>
      <c r="J187" s="29"/>
    </row>
    <row r="188" spans="1:10" x14ac:dyDescent="0.3">
      <c r="A188" s="26">
        <f>IF($C188="","",184)</f>
        <v>184</v>
      </c>
      <c r="B188" s="27">
        <f>IF($C188="","",EDATE(Loan!$B$8,184-1))</f>
        <v>51109</v>
      </c>
      <c r="C188" s="28">
        <f t="shared" si="8"/>
        <v>855895.88</v>
      </c>
      <c r="D188" s="28">
        <f t="shared" si="6"/>
        <v>30373.809999999998</v>
      </c>
      <c r="E188" s="28">
        <f>IF($C188="","",ROUND($C188*Loan!$B$6/12,2))</f>
        <v>6062.6</v>
      </c>
      <c r="F188" s="28">
        <f>IF($C188="","",IF(184&gt;=Loan!$B$7,$C188,MIN($C188,MAX(0,Loan!$B$14-$E188))))</f>
        <v>24311.21</v>
      </c>
      <c r="G188" s="28">
        <f>IF($C188="","",MAX(0,MIN($C188-$F188,N(Loan!$B$9)+IF(184=N(Loan!$B$11),N(Loan!$B$10),0))))</f>
        <v>0</v>
      </c>
      <c r="H188" s="28">
        <f t="shared" si="7"/>
        <v>831584.67</v>
      </c>
      <c r="I188" s="28">
        <f>IF($C188="","",SUM($E$5:$E188))</f>
        <v>3120365.7099999995</v>
      </c>
      <c r="J188" s="29"/>
    </row>
    <row r="189" spans="1:10" x14ac:dyDescent="0.3">
      <c r="A189" s="26">
        <f>IF($C189="","",185)</f>
        <v>185</v>
      </c>
      <c r="B189" s="27">
        <f>IF($C189="","",EDATE(Loan!$B$8,185-1))</f>
        <v>51140</v>
      </c>
      <c r="C189" s="28">
        <f t="shared" si="8"/>
        <v>831584.67</v>
      </c>
      <c r="D189" s="28">
        <f t="shared" si="6"/>
        <v>30373.81</v>
      </c>
      <c r="E189" s="28">
        <f>IF($C189="","",ROUND($C189*Loan!$B$6/12,2))</f>
        <v>5890.39</v>
      </c>
      <c r="F189" s="28">
        <f>IF($C189="","",IF(185&gt;=Loan!$B$7,$C189,MIN($C189,MAX(0,Loan!$B$14-$E189))))</f>
        <v>24483.420000000002</v>
      </c>
      <c r="G189" s="28">
        <f>IF($C189="","",MAX(0,MIN($C189-$F189,N(Loan!$B$9)+IF(185=N(Loan!$B$11),N(Loan!$B$10),0))))</f>
        <v>0</v>
      </c>
      <c r="H189" s="28">
        <f t="shared" si="7"/>
        <v>807101.25</v>
      </c>
      <c r="I189" s="28">
        <f>IF($C189="","",SUM($E$5:$E189))</f>
        <v>3126256.0999999996</v>
      </c>
      <c r="J189" s="29"/>
    </row>
    <row r="190" spans="1:10" x14ac:dyDescent="0.3">
      <c r="A190" s="26">
        <f>IF($C190="","",186)</f>
        <v>186</v>
      </c>
      <c r="B190" s="27">
        <f>IF($C190="","",EDATE(Loan!$B$8,186-1))</f>
        <v>51171</v>
      </c>
      <c r="C190" s="28">
        <f t="shared" si="8"/>
        <v>807101.25</v>
      </c>
      <c r="D190" s="28">
        <f t="shared" si="6"/>
        <v>30373.81</v>
      </c>
      <c r="E190" s="28">
        <f>IF($C190="","",ROUND($C190*Loan!$B$6/12,2))</f>
        <v>5716.97</v>
      </c>
      <c r="F190" s="28">
        <f>IF($C190="","",IF(186&gt;=Loan!$B$7,$C190,MIN($C190,MAX(0,Loan!$B$14-$E190))))</f>
        <v>24656.84</v>
      </c>
      <c r="G190" s="28">
        <f>IF($C190="","",MAX(0,MIN($C190-$F190,N(Loan!$B$9)+IF(186=N(Loan!$B$11),N(Loan!$B$10),0))))</f>
        <v>0</v>
      </c>
      <c r="H190" s="28">
        <f t="shared" si="7"/>
        <v>782444.41</v>
      </c>
      <c r="I190" s="28">
        <f>IF($C190="","",SUM($E$5:$E190))</f>
        <v>3131973.07</v>
      </c>
      <c r="J190" s="29"/>
    </row>
    <row r="191" spans="1:10" x14ac:dyDescent="0.3">
      <c r="A191" s="26">
        <f>IF($C191="","",187)</f>
        <v>187</v>
      </c>
      <c r="B191" s="27">
        <f>IF($C191="","",EDATE(Loan!$B$8,187-1))</f>
        <v>51200</v>
      </c>
      <c r="C191" s="28">
        <f t="shared" si="8"/>
        <v>782444.41</v>
      </c>
      <c r="D191" s="28">
        <f t="shared" si="6"/>
        <v>30373.81</v>
      </c>
      <c r="E191" s="28">
        <f>IF($C191="","",ROUND($C191*Loan!$B$6/12,2))</f>
        <v>5542.31</v>
      </c>
      <c r="F191" s="28">
        <f>IF($C191="","",IF(187&gt;=Loan!$B$7,$C191,MIN($C191,MAX(0,Loan!$B$14-$E191))))</f>
        <v>24831.5</v>
      </c>
      <c r="G191" s="28">
        <f>IF($C191="","",MAX(0,MIN($C191-$F191,N(Loan!$B$9)+IF(187=N(Loan!$B$11),N(Loan!$B$10),0))))</f>
        <v>0</v>
      </c>
      <c r="H191" s="28">
        <f t="shared" si="7"/>
        <v>757612.91</v>
      </c>
      <c r="I191" s="28">
        <f>IF($C191="","",SUM($E$5:$E191))</f>
        <v>3137515.38</v>
      </c>
      <c r="J191" s="29"/>
    </row>
    <row r="192" spans="1:10" x14ac:dyDescent="0.3">
      <c r="A192" s="26">
        <f>IF($C192="","",188)</f>
        <v>188</v>
      </c>
      <c r="B192" s="27">
        <f>IF($C192="","",EDATE(Loan!$B$8,188-1))</f>
        <v>51231</v>
      </c>
      <c r="C192" s="28">
        <f t="shared" si="8"/>
        <v>757612.91</v>
      </c>
      <c r="D192" s="28">
        <f t="shared" si="6"/>
        <v>30373.809999999998</v>
      </c>
      <c r="E192" s="28">
        <f>IF($C192="","",ROUND($C192*Loan!$B$6/12,2))</f>
        <v>5366.42</v>
      </c>
      <c r="F192" s="28">
        <f>IF($C192="","",IF(188&gt;=Loan!$B$7,$C192,MIN($C192,MAX(0,Loan!$B$14-$E192))))</f>
        <v>25007.39</v>
      </c>
      <c r="G192" s="28">
        <f>IF($C192="","",MAX(0,MIN($C192-$F192,N(Loan!$B$9)+IF(188=N(Loan!$B$11),N(Loan!$B$10),0))))</f>
        <v>0</v>
      </c>
      <c r="H192" s="28">
        <f t="shared" si="7"/>
        <v>732605.52</v>
      </c>
      <c r="I192" s="28">
        <f>IF($C192="","",SUM($E$5:$E192))</f>
        <v>3142881.8</v>
      </c>
      <c r="J192" s="29"/>
    </row>
    <row r="193" spans="1:10" x14ac:dyDescent="0.3">
      <c r="A193" s="26">
        <f>IF($C193="","",189)</f>
        <v>189</v>
      </c>
      <c r="B193" s="27">
        <f>IF($C193="","",EDATE(Loan!$B$8,189-1))</f>
        <v>51261</v>
      </c>
      <c r="C193" s="28">
        <f t="shared" si="8"/>
        <v>732605.52</v>
      </c>
      <c r="D193" s="28">
        <f t="shared" si="6"/>
        <v>30373.81</v>
      </c>
      <c r="E193" s="28">
        <f>IF($C193="","",ROUND($C193*Loan!$B$6/12,2))</f>
        <v>5189.29</v>
      </c>
      <c r="F193" s="28">
        <f>IF($C193="","",IF(189&gt;=Loan!$B$7,$C193,MIN($C193,MAX(0,Loan!$B$14-$E193))))</f>
        <v>25184.52</v>
      </c>
      <c r="G193" s="28">
        <f>IF($C193="","",MAX(0,MIN($C193-$F193,N(Loan!$B$9)+IF(189=N(Loan!$B$11),N(Loan!$B$10),0))))</f>
        <v>0</v>
      </c>
      <c r="H193" s="28">
        <f t="shared" si="7"/>
        <v>707421</v>
      </c>
      <c r="I193" s="28">
        <f>IF($C193="","",SUM($E$5:$E193))</f>
        <v>3148071.09</v>
      </c>
      <c r="J193" s="29"/>
    </row>
    <row r="194" spans="1:10" x14ac:dyDescent="0.3">
      <c r="A194" s="26">
        <f>IF($C194="","",190)</f>
        <v>190</v>
      </c>
      <c r="B194" s="27">
        <f>IF($C194="","",EDATE(Loan!$B$8,190-1))</f>
        <v>51292</v>
      </c>
      <c r="C194" s="28">
        <f t="shared" si="8"/>
        <v>707421</v>
      </c>
      <c r="D194" s="28">
        <f t="shared" si="6"/>
        <v>30373.810000000005</v>
      </c>
      <c r="E194" s="28">
        <f>IF($C194="","",ROUND($C194*Loan!$B$6/12,2))</f>
        <v>5010.8999999999996</v>
      </c>
      <c r="F194" s="28">
        <f>IF($C194="","",IF(190&gt;=Loan!$B$7,$C194,MIN($C194,MAX(0,Loan!$B$14-$E194))))</f>
        <v>25362.910000000003</v>
      </c>
      <c r="G194" s="28">
        <f>IF($C194="","",MAX(0,MIN($C194-$F194,N(Loan!$B$9)+IF(190=N(Loan!$B$11),N(Loan!$B$10),0))))</f>
        <v>0</v>
      </c>
      <c r="H194" s="28">
        <f t="shared" si="7"/>
        <v>682058.09</v>
      </c>
      <c r="I194" s="28">
        <f>IF($C194="","",SUM($E$5:$E194))</f>
        <v>3153081.9899999998</v>
      </c>
      <c r="J194" s="29"/>
    </row>
    <row r="195" spans="1:10" x14ac:dyDescent="0.3">
      <c r="A195" s="26">
        <f>IF($C195="","",191)</f>
        <v>191</v>
      </c>
      <c r="B195" s="27">
        <f>IF($C195="","",EDATE(Loan!$B$8,191-1))</f>
        <v>51322</v>
      </c>
      <c r="C195" s="28">
        <f t="shared" si="8"/>
        <v>682058.09</v>
      </c>
      <c r="D195" s="28">
        <f t="shared" si="6"/>
        <v>30373.809999999998</v>
      </c>
      <c r="E195" s="28">
        <f>IF($C195="","",ROUND($C195*Loan!$B$6/12,2))</f>
        <v>4831.24</v>
      </c>
      <c r="F195" s="28">
        <f>IF($C195="","",IF(191&gt;=Loan!$B$7,$C195,MIN($C195,MAX(0,Loan!$B$14-$E195))))</f>
        <v>25542.57</v>
      </c>
      <c r="G195" s="28">
        <f>IF($C195="","",MAX(0,MIN($C195-$F195,N(Loan!$B$9)+IF(191=N(Loan!$B$11),N(Loan!$B$10),0))))</f>
        <v>0</v>
      </c>
      <c r="H195" s="28">
        <f t="shared" si="7"/>
        <v>656515.52</v>
      </c>
      <c r="I195" s="28">
        <f>IF($C195="","",SUM($E$5:$E195))</f>
        <v>3157913.23</v>
      </c>
      <c r="J195" s="29"/>
    </row>
    <row r="196" spans="1:10" x14ac:dyDescent="0.3">
      <c r="A196" s="26">
        <f>IF($C196="","",192)</f>
        <v>192</v>
      </c>
      <c r="B196" s="27">
        <f>IF($C196="","",EDATE(Loan!$B$8,192-1))</f>
        <v>51353</v>
      </c>
      <c r="C196" s="28">
        <f t="shared" si="8"/>
        <v>656515.52</v>
      </c>
      <c r="D196" s="28">
        <f t="shared" si="6"/>
        <v>30373.81</v>
      </c>
      <c r="E196" s="28">
        <f>IF($C196="","",ROUND($C196*Loan!$B$6/12,2))</f>
        <v>4650.32</v>
      </c>
      <c r="F196" s="28">
        <f>IF($C196="","",IF(192&gt;=Loan!$B$7,$C196,MIN($C196,MAX(0,Loan!$B$14-$E196))))</f>
        <v>25723.49</v>
      </c>
      <c r="G196" s="28">
        <f>IF($C196="","",MAX(0,MIN($C196-$F196,N(Loan!$B$9)+IF(192=N(Loan!$B$11),N(Loan!$B$10),0))))</f>
        <v>0</v>
      </c>
      <c r="H196" s="28">
        <f t="shared" si="7"/>
        <v>630792.03</v>
      </c>
      <c r="I196" s="28">
        <f>IF($C196="","",SUM($E$5:$E196))</f>
        <v>3162563.55</v>
      </c>
      <c r="J196" s="29"/>
    </row>
    <row r="197" spans="1:10" x14ac:dyDescent="0.3">
      <c r="A197" s="26">
        <f>IF($C197="","",193)</f>
        <v>193</v>
      </c>
      <c r="B197" s="27">
        <f>IF($C197="","",EDATE(Loan!$B$8,193-1))</f>
        <v>51384</v>
      </c>
      <c r="C197" s="28">
        <f t="shared" si="8"/>
        <v>630792.03</v>
      </c>
      <c r="D197" s="28">
        <f t="shared" ref="D197:D260" si="9">IF($C197="","",$E197+$F197)</f>
        <v>30373.81</v>
      </c>
      <c r="E197" s="28">
        <f>IF($C197="","",ROUND($C197*Loan!$B$6/12,2))</f>
        <v>4468.1099999999997</v>
      </c>
      <c r="F197" s="28">
        <f>IF($C197="","",IF(193&gt;=Loan!$B$7,$C197,MIN($C197,MAX(0,Loan!$B$14-$E197))))</f>
        <v>25905.7</v>
      </c>
      <c r="G197" s="28">
        <f>IF($C197="","",MAX(0,MIN($C197-$F197,N(Loan!$B$9)+IF(193=N(Loan!$B$11),N(Loan!$B$10),0))))</f>
        <v>0</v>
      </c>
      <c r="H197" s="28">
        <f t="shared" ref="H197:H260" si="10">IF($C197="","",ROUND($C197-$F197-$G197,2))</f>
        <v>604886.32999999996</v>
      </c>
      <c r="I197" s="28">
        <f>IF($C197="","",SUM($E$5:$E197))</f>
        <v>3167031.6599999997</v>
      </c>
      <c r="J197" s="29"/>
    </row>
    <row r="198" spans="1:10" x14ac:dyDescent="0.3">
      <c r="A198" s="26">
        <f>IF($C198="","",194)</f>
        <v>194</v>
      </c>
      <c r="B198" s="27">
        <f>IF($C198="","",EDATE(Loan!$B$8,194-1))</f>
        <v>51414</v>
      </c>
      <c r="C198" s="28">
        <f t="shared" ref="C198:C261" si="11">IF(H197="","",IF(H197&lt;0.005,"",H197))</f>
        <v>604886.32999999996</v>
      </c>
      <c r="D198" s="28">
        <f t="shared" si="9"/>
        <v>30373.81</v>
      </c>
      <c r="E198" s="28">
        <f>IF($C198="","",ROUND($C198*Loan!$B$6/12,2))</f>
        <v>4284.6099999999997</v>
      </c>
      <c r="F198" s="28">
        <f>IF($C198="","",IF(194&gt;=Loan!$B$7,$C198,MIN($C198,MAX(0,Loan!$B$14-$E198))))</f>
        <v>26089.200000000001</v>
      </c>
      <c r="G198" s="28">
        <f>IF($C198="","",MAX(0,MIN($C198-$F198,N(Loan!$B$9)+IF(194=N(Loan!$B$11),N(Loan!$B$10),0))))</f>
        <v>0</v>
      </c>
      <c r="H198" s="28">
        <f t="shared" si="10"/>
        <v>578797.13</v>
      </c>
      <c r="I198" s="28">
        <f>IF($C198="","",SUM($E$5:$E198))</f>
        <v>3171316.2699999996</v>
      </c>
      <c r="J198" s="29"/>
    </row>
    <row r="199" spans="1:10" x14ac:dyDescent="0.3">
      <c r="A199" s="26">
        <f>IF($C199="","",195)</f>
        <v>195</v>
      </c>
      <c r="B199" s="27">
        <f>IF($C199="","",EDATE(Loan!$B$8,195-1))</f>
        <v>51445</v>
      </c>
      <c r="C199" s="28">
        <f t="shared" si="11"/>
        <v>578797.13</v>
      </c>
      <c r="D199" s="28">
        <f t="shared" si="9"/>
        <v>30373.81</v>
      </c>
      <c r="E199" s="28">
        <f>IF($C199="","",ROUND($C199*Loan!$B$6/12,2))</f>
        <v>4099.8100000000004</v>
      </c>
      <c r="F199" s="28">
        <f>IF($C199="","",IF(195&gt;=Loan!$B$7,$C199,MIN($C199,MAX(0,Loan!$B$14-$E199))))</f>
        <v>26274</v>
      </c>
      <c r="G199" s="28">
        <f>IF($C199="","",MAX(0,MIN($C199-$F199,N(Loan!$B$9)+IF(195=N(Loan!$B$11),N(Loan!$B$10),0))))</f>
        <v>0</v>
      </c>
      <c r="H199" s="28">
        <f t="shared" si="10"/>
        <v>552523.13</v>
      </c>
      <c r="I199" s="28">
        <f>IF($C199="","",SUM($E$5:$E199))</f>
        <v>3175416.0799999996</v>
      </c>
      <c r="J199" s="29"/>
    </row>
    <row r="200" spans="1:10" x14ac:dyDescent="0.3">
      <c r="A200" s="26">
        <f>IF($C200="","",196)</f>
        <v>196</v>
      </c>
      <c r="B200" s="27">
        <f>IF($C200="","",EDATE(Loan!$B$8,196-1))</f>
        <v>51475</v>
      </c>
      <c r="C200" s="28">
        <f t="shared" si="11"/>
        <v>552523.13</v>
      </c>
      <c r="D200" s="28">
        <f t="shared" si="9"/>
        <v>30373.81</v>
      </c>
      <c r="E200" s="28">
        <f>IF($C200="","",ROUND($C200*Loan!$B$6/12,2))</f>
        <v>3913.71</v>
      </c>
      <c r="F200" s="28">
        <f>IF($C200="","",IF(196&gt;=Loan!$B$7,$C200,MIN($C200,MAX(0,Loan!$B$14-$E200))))</f>
        <v>26460.100000000002</v>
      </c>
      <c r="G200" s="28">
        <f>IF($C200="","",MAX(0,MIN($C200-$F200,N(Loan!$B$9)+IF(196=N(Loan!$B$11),N(Loan!$B$10),0))))</f>
        <v>0</v>
      </c>
      <c r="H200" s="28">
        <f t="shared" si="10"/>
        <v>526063.03</v>
      </c>
      <c r="I200" s="28">
        <f>IF($C200="","",SUM($E$5:$E200))</f>
        <v>3179329.7899999996</v>
      </c>
      <c r="J200" s="29"/>
    </row>
    <row r="201" spans="1:10" x14ac:dyDescent="0.3">
      <c r="A201" s="26">
        <f>IF($C201="","",197)</f>
        <v>197</v>
      </c>
      <c r="B201" s="27">
        <f>IF($C201="","",EDATE(Loan!$B$8,197-1))</f>
        <v>51506</v>
      </c>
      <c r="C201" s="28">
        <f t="shared" si="11"/>
        <v>526063.03</v>
      </c>
      <c r="D201" s="28">
        <f t="shared" si="9"/>
        <v>30373.81</v>
      </c>
      <c r="E201" s="28">
        <f>IF($C201="","",ROUND($C201*Loan!$B$6/12,2))</f>
        <v>3726.28</v>
      </c>
      <c r="F201" s="28">
        <f>IF($C201="","",IF(197&gt;=Loan!$B$7,$C201,MIN($C201,MAX(0,Loan!$B$14-$E201))))</f>
        <v>26647.530000000002</v>
      </c>
      <c r="G201" s="28">
        <f>IF($C201="","",MAX(0,MIN($C201-$F201,N(Loan!$B$9)+IF(197=N(Loan!$B$11),N(Loan!$B$10),0))))</f>
        <v>0</v>
      </c>
      <c r="H201" s="28">
        <f t="shared" si="10"/>
        <v>499415.5</v>
      </c>
      <c r="I201" s="28">
        <f>IF($C201="","",SUM($E$5:$E201))</f>
        <v>3183056.0699999994</v>
      </c>
      <c r="J201" s="29"/>
    </row>
    <row r="202" spans="1:10" x14ac:dyDescent="0.3">
      <c r="A202" s="26">
        <f>IF($C202="","",198)</f>
        <v>198</v>
      </c>
      <c r="B202" s="27">
        <f>IF($C202="","",EDATE(Loan!$B$8,198-1))</f>
        <v>51537</v>
      </c>
      <c r="C202" s="28">
        <f t="shared" si="11"/>
        <v>499415.5</v>
      </c>
      <c r="D202" s="28">
        <f t="shared" si="9"/>
        <v>30373.81</v>
      </c>
      <c r="E202" s="28">
        <f>IF($C202="","",ROUND($C202*Loan!$B$6/12,2))</f>
        <v>3537.53</v>
      </c>
      <c r="F202" s="28">
        <f>IF($C202="","",IF(198&gt;=Loan!$B$7,$C202,MIN($C202,MAX(0,Loan!$B$14-$E202))))</f>
        <v>26836.280000000002</v>
      </c>
      <c r="G202" s="28">
        <f>IF($C202="","",MAX(0,MIN($C202-$F202,N(Loan!$B$9)+IF(198=N(Loan!$B$11),N(Loan!$B$10),0))))</f>
        <v>0</v>
      </c>
      <c r="H202" s="28">
        <f t="shared" si="10"/>
        <v>472579.22</v>
      </c>
      <c r="I202" s="28">
        <f>IF($C202="","",SUM($E$5:$E202))</f>
        <v>3186593.5999999992</v>
      </c>
      <c r="J202" s="29"/>
    </row>
    <row r="203" spans="1:10" x14ac:dyDescent="0.3">
      <c r="A203" s="26">
        <f>IF($C203="","",199)</f>
        <v>199</v>
      </c>
      <c r="B203" s="27">
        <f>IF($C203="","",EDATE(Loan!$B$8,199-1))</f>
        <v>51565</v>
      </c>
      <c r="C203" s="28">
        <f t="shared" si="11"/>
        <v>472579.22</v>
      </c>
      <c r="D203" s="28">
        <f t="shared" si="9"/>
        <v>30373.81</v>
      </c>
      <c r="E203" s="28">
        <f>IF($C203="","",ROUND($C203*Loan!$B$6/12,2))</f>
        <v>3347.44</v>
      </c>
      <c r="F203" s="28">
        <f>IF($C203="","",IF(199&gt;=Loan!$B$7,$C203,MIN($C203,MAX(0,Loan!$B$14-$E203))))</f>
        <v>27026.370000000003</v>
      </c>
      <c r="G203" s="28">
        <f>IF($C203="","",MAX(0,MIN($C203-$F203,N(Loan!$B$9)+IF(199=N(Loan!$B$11),N(Loan!$B$10),0))))</f>
        <v>0</v>
      </c>
      <c r="H203" s="28">
        <f t="shared" si="10"/>
        <v>445552.85</v>
      </c>
      <c r="I203" s="28">
        <f>IF($C203="","",SUM($E$5:$E203))</f>
        <v>3189941.0399999991</v>
      </c>
      <c r="J203" s="29"/>
    </row>
    <row r="204" spans="1:10" x14ac:dyDescent="0.3">
      <c r="A204" s="26">
        <f>IF($C204="","",200)</f>
        <v>200</v>
      </c>
      <c r="B204" s="27">
        <f>IF($C204="","",EDATE(Loan!$B$8,200-1))</f>
        <v>51596</v>
      </c>
      <c r="C204" s="28">
        <f t="shared" si="11"/>
        <v>445552.85</v>
      </c>
      <c r="D204" s="28">
        <f t="shared" si="9"/>
        <v>30373.81</v>
      </c>
      <c r="E204" s="28">
        <f>IF($C204="","",ROUND($C204*Loan!$B$6/12,2))</f>
        <v>3156</v>
      </c>
      <c r="F204" s="28">
        <f>IF($C204="","",IF(200&gt;=Loan!$B$7,$C204,MIN($C204,MAX(0,Loan!$B$14-$E204))))</f>
        <v>27217.81</v>
      </c>
      <c r="G204" s="28">
        <f>IF($C204="","",MAX(0,MIN($C204-$F204,N(Loan!$B$9)+IF(200=N(Loan!$B$11),N(Loan!$B$10),0))))</f>
        <v>0</v>
      </c>
      <c r="H204" s="28">
        <f t="shared" si="10"/>
        <v>418335.04</v>
      </c>
      <c r="I204" s="28">
        <f>IF($C204="","",SUM($E$5:$E204))</f>
        <v>3193097.0399999991</v>
      </c>
      <c r="J204" s="29"/>
    </row>
    <row r="205" spans="1:10" x14ac:dyDescent="0.3">
      <c r="A205" s="26">
        <f>IF($C205="","",201)</f>
        <v>201</v>
      </c>
      <c r="B205" s="27">
        <f>IF($C205="","",EDATE(Loan!$B$8,201-1))</f>
        <v>51626</v>
      </c>
      <c r="C205" s="28">
        <f t="shared" si="11"/>
        <v>418335.04</v>
      </c>
      <c r="D205" s="28">
        <f t="shared" si="9"/>
        <v>30373.81</v>
      </c>
      <c r="E205" s="28">
        <f>IF($C205="","",ROUND($C205*Loan!$B$6/12,2))</f>
        <v>2963.21</v>
      </c>
      <c r="F205" s="28">
        <f>IF($C205="","",IF(201&gt;=Loan!$B$7,$C205,MIN($C205,MAX(0,Loan!$B$14-$E205))))</f>
        <v>27410.600000000002</v>
      </c>
      <c r="G205" s="28">
        <f>IF($C205="","",MAX(0,MIN($C205-$F205,N(Loan!$B$9)+IF(201=N(Loan!$B$11),N(Loan!$B$10),0))))</f>
        <v>0</v>
      </c>
      <c r="H205" s="28">
        <f t="shared" si="10"/>
        <v>390924.44</v>
      </c>
      <c r="I205" s="28">
        <f>IF($C205="","",SUM($E$5:$E205))</f>
        <v>3196060.2499999991</v>
      </c>
      <c r="J205" s="29"/>
    </row>
    <row r="206" spans="1:10" x14ac:dyDescent="0.3">
      <c r="A206" s="26">
        <f>IF($C206="","",202)</f>
        <v>202</v>
      </c>
      <c r="B206" s="27">
        <f>IF($C206="","",EDATE(Loan!$B$8,202-1))</f>
        <v>51657</v>
      </c>
      <c r="C206" s="28">
        <f t="shared" si="11"/>
        <v>390924.44</v>
      </c>
      <c r="D206" s="28">
        <f t="shared" si="9"/>
        <v>30373.81</v>
      </c>
      <c r="E206" s="28">
        <f>IF($C206="","",ROUND($C206*Loan!$B$6/12,2))</f>
        <v>2769.05</v>
      </c>
      <c r="F206" s="28">
        <f>IF($C206="","",IF(202&gt;=Loan!$B$7,$C206,MIN($C206,MAX(0,Loan!$B$14-$E206))))</f>
        <v>27604.760000000002</v>
      </c>
      <c r="G206" s="28">
        <f>IF($C206="","",MAX(0,MIN($C206-$F206,N(Loan!$B$9)+IF(202=N(Loan!$B$11),N(Loan!$B$10),0))))</f>
        <v>0</v>
      </c>
      <c r="H206" s="28">
        <f t="shared" si="10"/>
        <v>363319.68</v>
      </c>
      <c r="I206" s="28">
        <f>IF($C206="","",SUM($E$5:$E206))</f>
        <v>3198829.2999999989</v>
      </c>
      <c r="J206" s="29"/>
    </row>
    <row r="207" spans="1:10" x14ac:dyDescent="0.3">
      <c r="A207" s="26">
        <f>IF($C207="","",203)</f>
        <v>203</v>
      </c>
      <c r="B207" s="27">
        <f>IF($C207="","",EDATE(Loan!$B$8,203-1))</f>
        <v>51687</v>
      </c>
      <c r="C207" s="28">
        <f t="shared" si="11"/>
        <v>363319.68</v>
      </c>
      <c r="D207" s="28">
        <f t="shared" si="9"/>
        <v>30373.810000000005</v>
      </c>
      <c r="E207" s="28">
        <f>IF($C207="","",ROUND($C207*Loan!$B$6/12,2))</f>
        <v>2573.5100000000002</v>
      </c>
      <c r="F207" s="28">
        <f>IF($C207="","",IF(203&gt;=Loan!$B$7,$C207,MIN($C207,MAX(0,Loan!$B$14-$E207))))</f>
        <v>27800.300000000003</v>
      </c>
      <c r="G207" s="28">
        <f>IF($C207="","",MAX(0,MIN($C207-$F207,N(Loan!$B$9)+IF(203=N(Loan!$B$11),N(Loan!$B$10),0))))</f>
        <v>0</v>
      </c>
      <c r="H207" s="28">
        <f t="shared" si="10"/>
        <v>335519.38</v>
      </c>
      <c r="I207" s="28">
        <f>IF($C207="","",SUM($E$5:$E207))</f>
        <v>3201402.8099999987</v>
      </c>
      <c r="J207" s="29"/>
    </row>
    <row r="208" spans="1:10" x14ac:dyDescent="0.3">
      <c r="A208" s="26">
        <f>IF($C208="","",204)</f>
        <v>204</v>
      </c>
      <c r="B208" s="27">
        <f>IF($C208="","",EDATE(Loan!$B$8,204-1))</f>
        <v>51718</v>
      </c>
      <c r="C208" s="28">
        <f t="shared" si="11"/>
        <v>335519.38</v>
      </c>
      <c r="D208" s="28">
        <f t="shared" si="9"/>
        <v>30373.81</v>
      </c>
      <c r="E208" s="28">
        <f>IF($C208="","",ROUND($C208*Loan!$B$6/12,2))</f>
        <v>2376.6</v>
      </c>
      <c r="F208" s="28">
        <f>IF($C208="","",IF(204&gt;=Loan!$B$7,$C208,MIN($C208,MAX(0,Loan!$B$14-$E208))))</f>
        <v>27997.210000000003</v>
      </c>
      <c r="G208" s="28">
        <f>IF($C208="","",MAX(0,MIN($C208-$F208,N(Loan!$B$9)+IF(204=N(Loan!$B$11),N(Loan!$B$10),0))))</f>
        <v>0</v>
      </c>
      <c r="H208" s="28">
        <f t="shared" si="10"/>
        <v>307522.17</v>
      </c>
      <c r="I208" s="28">
        <f>IF($C208="","",SUM($E$5:$E208))</f>
        <v>3203779.4099999988</v>
      </c>
      <c r="J208" s="29"/>
    </row>
    <row r="209" spans="1:10" x14ac:dyDescent="0.3">
      <c r="A209" s="26">
        <f>IF($C209="","",205)</f>
        <v>205</v>
      </c>
      <c r="B209" s="27">
        <f>IF($C209="","",EDATE(Loan!$B$8,205-1))</f>
        <v>51749</v>
      </c>
      <c r="C209" s="28">
        <f t="shared" si="11"/>
        <v>307522.17</v>
      </c>
      <c r="D209" s="28">
        <f t="shared" si="9"/>
        <v>30373.81</v>
      </c>
      <c r="E209" s="28">
        <f>IF($C209="","",ROUND($C209*Loan!$B$6/12,2))</f>
        <v>2178.2800000000002</v>
      </c>
      <c r="F209" s="28">
        <f>IF($C209="","",IF(205&gt;=Loan!$B$7,$C209,MIN($C209,MAX(0,Loan!$B$14-$E209))))</f>
        <v>28195.530000000002</v>
      </c>
      <c r="G209" s="28">
        <f>IF($C209="","",MAX(0,MIN($C209-$F209,N(Loan!$B$9)+IF(205=N(Loan!$B$11),N(Loan!$B$10),0))))</f>
        <v>0</v>
      </c>
      <c r="H209" s="28">
        <f t="shared" si="10"/>
        <v>279326.64</v>
      </c>
      <c r="I209" s="28">
        <f>IF($C209="","",SUM($E$5:$E209))</f>
        <v>3205957.6899999985</v>
      </c>
      <c r="J209" s="29"/>
    </row>
    <row r="210" spans="1:10" x14ac:dyDescent="0.3">
      <c r="A210" s="26">
        <f>IF($C210="","",206)</f>
        <v>206</v>
      </c>
      <c r="B210" s="27">
        <f>IF($C210="","",EDATE(Loan!$B$8,206-1))</f>
        <v>51779</v>
      </c>
      <c r="C210" s="28">
        <f t="shared" si="11"/>
        <v>279326.64</v>
      </c>
      <c r="D210" s="28">
        <f t="shared" si="9"/>
        <v>30373.81</v>
      </c>
      <c r="E210" s="28">
        <f>IF($C210="","",ROUND($C210*Loan!$B$6/12,2))</f>
        <v>1978.56</v>
      </c>
      <c r="F210" s="28">
        <f>IF($C210="","",IF(206&gt;=Loan!$B$7,$C210,MIN($C210,MAX(0,Loan!$B$14-$E210))))</f>
        <v>28395.25</v>
      </c>
      <c r="G210" s="28">
        <f>IF($C210="","",MAX(0,MIN($C210-$F210,N(Loan!$B$9)+IF(206=N(Loan!$B$11),N(Loan!$B$10),0))))</f>
        <v>0</v>
      </c>
      <c r="H210" s="28">
        <f t="shared" si="10"/>
        <v>250931.39</v>
      </c>
      <c r="I210" s="28">
        <f>IF($C210="","",SUM($E$5:$E210))</f>
        <v>3207936.2499999986</v>
      </c>
      <c r="J210" s="29"/>
    </row>
    <row r="211" spans="1:10" x14ac:dyDescent="0.3">
      <c r="A211" s="26">
        <f>IF($C211="","",207)</f>
        <v>207</v>
      </c>
      <c r="B211" s="27">
        <f>IF($C211="","",EDATE(Loan!$B$8,207-1))</f>
        <v>51810</v>
      </c>
      <c r="C211" s="28">
        <f t="shared" si="11"/>
        <v>250931.39</v>
      </c>
      <c r="D211" s="28">
        <f t="shared" si="9"/>
        <v>30373.81</v>
      </c>
      <c r="E211" s="28">
        <f>IF($C211="","",ROUND($C211*Loan!$B$6/12,2))</f>
        <v>1777.43</v>
      </c>
      <c r="F211" s="28">
        <f>IF($C211="","",IF(207&gt;=Loan!$B$7,$C211,MIN($C211,MAX(0,Loan!$B$14-$E211))))</f>
        <v>28596.38</v>
      </c>
      <c r="G211" s="28">
        <f>IF($C211="","",MAX(0,MIN($C211-$F211,N(Loan!$B$9)+IF(207=N(Loan!$B$11),N(Loan!$B$10),0))))</f>
        <v>0</v>
      </c>
      <c r="H211" s="28">
        <f t="shared" si="10"/>
        <v>222335.01</v>
      </c>
      <c r="I211" s="28">
        <f>IF($C211="","",SUM($E$5:$E211))</f>
        <v>3209713.6799999988</v>
      </c>
      <c r="J211" s="29"/>
    </row>
    <row r="212" spans="1:10" x14ac:dyDescent="0.3">
      <c r="A212" s="26">
        <f>IF($C212="","",208)</f>
        <v>208</v>
      </c>
      <c r="B212" s="27">
        <f>IF($C212="","",EDATE(Loan!$B$8,208-1))</f>
        <v>51840</v>
      </c>
      <c r="C212" s="28">
        <f t="shared" si="11"/>
        <v>222335.01</v>
      </c>
      <c r="D212" s="28">
        <f t="shared" si="9"/>
        <v>30373.81</v>
      </c>
      <c r="E212" s="28">
        <f>IF($C212="","",ROUND($C212*Loan!$B$6/12,2))</f>
        <v>1574.87</v>
      </c>
      <c r="F212" s="28">
        <f>IF($C212="","",IF(208&gt;=Loan!$B$7,$C212,MIN($C212,MAX(0,Loan!$B$14-$E212))))</f>
        <v>28798.940000000002</v>
      </c>
      <c r="G212" s="28">
        <f>IF($C212="","",MAX(0,MIN($C212-$F212,N(Loan!$B$9)+IF(208=N(Loan!$B$11),N(Loan!$B$10),0))))</f>
        <v>0</v>
      </c>
      <c r="H212" s="28">
        <f t="shared" si="10"/>
        <v>193536.07</v>
      </c>
      <c r="I212" s="28">
        <f>IF($C212="","",SUM($E$5:$E212))</f>
        <v>3211288.5499999989</v>
      </c>
      <c r="J212" s="29"/>
    </row>
    <row r="213" spans="1:10" x14ac:dyDescent="0.3">
      <c r="A213" s="26">
        <f>IF($C213="","",209)</f>
        <v>209</v>
      </c>
      <c r="B213" s="27">
        <f>IF($C213="","",EDATE(Loan!$B$8,209-1))</f>
        <v>51871</v>
      </c>
      <c r="C213" s="28">
        <f t="shared" si="11"/>
        <v>193536.07</v>
      </c>
      <c r="D213" s="28">
        <f t="shared" si="9"/>
        <v>30373.81</v>
      </c>
      <c r="E213" s="28">
        <f>IF($C213="","",ROUND($C213*Loan!$B$6/12,2))</f>
        <v>1370.88</v>
      </c>
      <c r="F213" s="28">
        <f>IF($C213="","",IF(209&gt;=Loan!$B$7,$C213,MIN($C213,MAX(0,Loan!$B$14-$E213))))</f>
        <v>29002.93</v>
      </c>
      <c r="G213" s="28">
        <f>IF($C213="","",MAX(0,MIN($C213-$F213,N(Loan!$B$9)+IF(209=N(Loan!$B$11),N(Loan!$B$10),0))))</f>
        <v>0</v>
      </c>
      <c r="H213" s="28">
        <f t="shared" si="10"/>
        <v>164533.14000000001</v>
      </c>
      <c r="I213" s="28">
        <f>IF($C213="","",SUM($E$5:$E213))</f>
        <v>3212659.4299999988</v>
      </c>
      <c r="J213" s="29"/>
    </row>
    <row r="214" spans="1:10" x14ac:dyDescent="0.3">
      <c r="A214" s="26">
        <f>IF($C214="","",210)</f>
        <v>210</v>
      </c>
      <c r="B214" s="27">
        <f>IF($C214="","",EDATE(Loan!$B$8,210-1))</f>
        <v>51902</v>
      </c>
      <c r="C214" s="28">
        <f t="shared" si="11"/>
        <v>164533.14000000001</v>
      </c>
      <c r="D214" s="28">
        <f t="shared" si="9"/>
        <v>30373.81</v>
      </c>
      <c r="E214" s="28">
        <f>IF($C214="","",ROUND($C214*Loan!$B$6/12,2))</f>
        <v>1165.44</v>
      </c>
      <c r="F214" s="28">
        <f>IF($C214="","",IF(210&gt;=Loan!$B$7,$C214,MIN($C214,MAX(0,Loan!$B$14-$E214))))</f>
        <v>29208.370000000003</v>
      </c>
      <c r="G214" s="28">
        <f>IF($C214="","",MAX(0,MIN($C214-$F214,N(Loan!$B$9)+IF(210=N(Loan!$B$11),N(Loan!$B$10),0))))</f>
        <v>0</v>
      </c>
      <c r="H214" s="28">
        <f t="shared" si="10"/>
        <v>135324.76999999999</v>
      </c>
      <c r="I214" s="28">
        <f>IF($C214="","",SUM($E$5:$E214))</f>
        <v>3213824.8699999987</v>
      </c>
      <c r="J214" s="29"/>
    </row>
    <row r="215" spans="1:10" x14ac:dyDescent="0.3">
      <c r="A215" s="26">
        <f>IF($C215="","",211)</f>
        <v>211</v>
      </c>
      <c r="B215" s="27">
        <f>IF($C215="","",EDATE(Loan!$B$8,211-1))</f>
        <v>51930</v>
      </c>
      <c r="C215" s="28">
        <f t="shared" si="11"/>
        <v>135324.76999999999</v>
      </c>
      <c r="D215" s="28">
        <f t="shared" si="9"/>
        <v>30373.81</v>
      </c>
      <c r="E215" s="28">
        <f>IF($C215="","",ROUND($C215*Loan!$B$6/12,2))</f>
        <v>958.55</v>
      </c>
      <c r="F215" s="28">
        <f>IF($C215="","",IF(211&gt;=Loan!$B$7,$C215,MIN($C215,MAX(0,Loan!$B$14-$E215))))</f>
        <v>29415.260000000002</v>
      </c>
      <c r="G215" s="28">
        <f>IF($C215="","",MAX(0,MIN($C215-$F215,N(Loan!$B$9)+IF(211=N(Loan!$B$11),N(Loan!$B$10),0))))</f>
        <v>0</v>
      </c>
      <c r="H215" s="28">
        <f t="shared" si="10"/>
        <v>105909.51</v>
      </c>
      <c r="I215" s="28">
        <f>IF($C215="","",SUM($E$5:$E215))</f>
        <v>3214783.4199999985</v>
      </c>
      <c r="J215" s="29"/>
    </row>
    <row r="216" spans="1:10" x14ac:dyDescent="0.3">
      <c r="A216" s="26">
        <f>IF($C216="","",212)</f>
        <v>212</v>
      </c>
      <c r="B216" s="27">
        <f>IF($C216="","",EDATE(Loan!$B$8,212-1))</f>
        <v>51961</v>
      </c>
      <c r="C216" s="28">
        <f t="shared" si="11"/>
        <v>105909.51</v>
      </c>
      <c r="D216" s="28">
        <f t="shared" si="9"/>
        <v>30373.81</v>
      </c>
      <c r="E216" s="28">
        <f>IF($C216="","",ROUND($C216*Loan!$B$6/12,2))</f>
        <v>750.19</v>
      </c>
      <c r="F216" s="28">
        <f>IF($C216="","",IF(212&gt;=Loan!$B$7,$C216,MIN($C216,MAX(0,Loan!$B$14-$E216))))</f>
        <v>29623.620000000003</v>
      </c>
      <c r="G216" s="28">
        <f>IF($C216="","",MAX(0,MIN($C216-$F216,N(Loan!$B$9)+IF(212=N(Loan!$B$11),N(Loan!$B$10),0))))</f>
        <v>0</v>
      </c>
      <c r="H216" s="28">
        <f t="shared" si="10"/>
        <v>76285.89</v>
      </c>
      <c r="I216" s="28">
        <f>IF($C216="","",SUM($E$5:$E216))</f>
        <v>3215533.6099999985</v>
      </c>
      <c r="J216" s="29"/>
    </row>
    <row r="217" spans="1:10" x14ac:dyDescent="0.3">
      <c r="A217" s="26">
        <f>IF($C217="","",213)</f>
        <v>213</v>
      </c>
      <c r="B217" s="27">
        <f>IF($C217="","",EDATE(Loan!$B$8,213-1))</f>
        <v>51991</v>
      </c>
      <c r="C217" s="28">
        <f t="shared" si="11"/>
        <v>76285.89</v>
      </c>
      <c r="D217" s="28">
        <f t="shared" si="9"/>
        <v>30373.81</v>
      </c>
      <c r="E217" s="28">
        <f>IF($C217="","",ROUND($C217*Loan!$B$6/12,2))</f>
        <v>540.36</v>
      </c>
      <c r="F217" s="28">
        <f>IF($C217="","",IF(213&gt;=Loan!$B$7,$C217,MIN($C217,MAX(0,Loan!$B$14-$E217))))</f>
        <v>29833.45</v>
      </c>
      <c r="G217" s="28">
        <f>IF($C217="","",MAX(0,MIN($C217-$F217,N(Loan!$B$9)+IF(213=N(Loan!$B$11),N(Loan!$B$10),0))))</f>
        <v>0</v>
      </c>
      <c r="H217" s="28">
        <f t="shared" si="10"/>
        <v>46452.44</v>
      </c>
      <c r="I217" s="28">
        <f>IF($C217="","",SUM($E$5:$E217))</f>
        <v>3216073.9699999983</v>
      </c>
      <c r="J217" s="29"/>
    </row>
    <row r="218" spans="1:10" x14ac:dyDescent="0.3">
      <c r="A218" s="26">
        <f>IF($C218="","",214)</f>
        <v>214</v>
      </c>
      <c r="B218" s="27">
        <f>IF($C218="","",EDATE(Loan!$B$8,214-1))</f>
        <v>52022</v>
      </c>
      <c r="C218" s="28">
        <f t="shared" si="11"/>
        <v>46452.44</v>
      </c>
      <c r="D218" s="28">
        <f t="shared" si="9"/>
        <v>30373.81</v>
      </c>
      <c r="E218" s="28">
        <f>IF($C218="","",ROUND($C218*Loan!$B$6/12,2))</f>
        <v>329.04</v>
      </c>
      <c r="F218" s="28">
        <f>IF($C218="","",IF(214&gt;=Loan!$B$7,$C218,MIN($C218,MAX(0,Loan!$B$14-$E218))))</f>
        <v>30044.77</v>
      </c>
      <c r="G218" s="28">
        <f>IF($C218="","",MAX(0,MIN($C218-$F218,N(Loan!$B$9)+IF(214=N(Loan!$B$11),N(Loan!$B$10),0))))</f>
        <v>0</v>
      </c>
      <c r="H218" s="28">
        <f t="shared" si="10"/>
        <v>16407.669999999998</v>
      </c>
      <c r="I218" s="28">
        <f>IF($C218="","",SUM($E$5:$E218))</f>
        <v>3216403.0099999984</v>
      </c>
      <c r="J218" s="29"/>
    </row>
    <row r="219" spans="1:10" x14ac:dyDescent="0.3">
      <c r="A219" s="26">
        <f>IF($C219="","",215)</f>
        <v>215</v>
      </c>
      <c r="B219" s="27">
        <f>IF($C219="","",EDATE(Loan!$B$8,215-1))</f>
        <v>52052</v>
      </c>
      <c r="C219" s="28">
        <f t="shared" si="11"/>
        <v>16407.669999999998</v>
      </c>
      <c r="D219" s="28">
        <f t="shared" si="9"/>
        <v>16523.89</v>
      </c>
      <c r="E219" s="28">
        <f>IF($C219="","",ROUND($C219*Loan!$B$6/12,2))</f>
        <v>116.22</v>
      </c>
      <c r="F219" s="28">
        <f>IF($C219="","",IF(215&gt;=Loan!$B$7,$C219,MIN($C219,MAX(0,Loan!$B$14-$E219))))</f>
        <v>16407.669999999998</v>
      </c>
      <c r="G219" s="28">
        <f>IF($C219="","",MAX(0,MIN($C219-$F219,N(Loan!$B$9)+IF(215=N(Loan!$B$11),N(Loan!$B$10),0))))</f>
        <v>0</v>
      </c>
      <c r="H219" s="28">
        <f t="shared" si="10"/>
        <v>0</v>
      </c>
      <c r="I219" s="28">
        <f>IF($C219="","",SUM($E$5:$E219))</f>
        <v>3216519.2299999986</v>
      </c>
      <c r="J219" s="29"/>
    </row>
    <row r="220" spans="1:10" x14ac:dyDescent="0.3">
      <c r="A220" s="26" t="str">
        <f>IF($C220="","",216)</f>
        <v/>
      </c>
      <c r="B220" s="27" t="str">
        <f>IF($C220="","",EDATE(Loan!$B$8,216-1))</f>
        <v/>
      </c>
      <c r="C220" s="28" t="str">
        <f t="shared" si="11"/>
        <v/>
      </c>
      <c r="D220" s="28" t="str">
        <f t="shared" si="9"/>
        <v/>
      </c>
      <c r="E220" s="28" t="str">
        <f>IF($C220="","",ROUND($C220*Loan!$B$6/12,2))</f>
        <v/>
      </c>
      <c r="F220" s="28" t="str">
        <f>IF($C220="","",IF(216&gt;=Loan!$B$7,$C220,MIN($C220,MAX(0,Loan!$B$14-$E220))))</f>
        <v/>
      </c>
      <c r="G220" s="28" t="str">
        <f>IF($C220="","",MAX(0,MIN($C220-$F220,N(Loan!$B$9)+IF(216=N(Loan!$B$11),N(Loan!$B$10),0))))</f>
        <v/>
      </c>
      <c r="H220" s="28" t="str">
        <f t="shared" si="10"/>
        <v/>
      </c>
      <c r="I220" s="28" t="str">
        <f>IF($C220="","",SUM($E$5:$E220))</f>
        <v/>
      </c>
      <c r="J220" s="29"/>
    </row>
    <row r="221" spans="1:10" x14ac:dyDescent="0.3">
      <c r="A221" s="26" t="str">
        <f>IF($C221="","",217)</f>
        <v/>
      </c>
      <c r="B221" s="27" t="str">
        <f>IF($C221="","",EDATE(Loan!$B$8,217-1))</f>
        <v/>
      </c>
      <c r="C221" s="28" t="str">
        <f t="shared" si="11"/>
        <v/>
      </c>
      <c r="D221" s="28" t="str">
        <f t="shared" si="9"/>
        <v/>
      </c>
      <c r="E221" s="28" t="str">
        <f>IF($C221="","",ROUND($C221*Loan!$B$6/12,2))</f>
        <v/>
      </c>
      <c r="F221" s="28" t="str">
        <f>IF($C221="","",IF(217&gt;=Loan!$B$7,$C221,MIN($C221,MAX(0,Loan!$B$14-$E221))))</f>
        <v/>
      </c>
      <c r="G221" s="28" t="str">
        <f>IF($C221="","",MAX(0,MIN($C221-$F221,N(Loan!$B$9)+IF(217=N(Loan!$B$11),N(Loan!$B$10),0))))</f>
        <v/>
      </c>
      <c r="H221" s="28" t="str">
        <f t="shared" si="10"/>
        <v/>
      </c>
      <c r="I221" s="28" t="str">
        <f>IF($C221="","",SUM($E$5:$E221))</f>
        <v/>
      </c>
      <c r="J221" s="29"/>
    </row>
    <row r="222" spans="1:10" x14ac:dyDescent="0.3">
      <c r="A222" s="26" t="str">
        <f>IF($C222="","",218)</f>
        <v/>
      </c>
      <c r="B222" s="27" t="str">
        <f>IF($C222="","",EDATE(Loan!$B$8,218-1))</f>
        <v/>
      </c>
      <c r="C222" s="28" t="str">
        <f t="shared" si="11"/>
        <v/>
      </c>
      <c r="D222" s="28" t="str">
        <f t="shared" si="9"/>
        <v/>
      </c>
      <c r="E222" s="28" t="str">
        <f>IF($C222="","",ROUND($C222*Loan!$B$6/12,2))</f>
        <v/>
      </c>
      <c r="F222" s="28" t="str">
        <f>IF($C222="","",IF(218&gt;=Loan!$B$7,$C222,MIN($C222,MAX(0,Loan!$B$14-$E222))))</f>
        <v/>
      </c>
      <c r="G222" s="28" t="str">
        <f>IF($C222="","",MAX(0,MIN($C222-$F222,N(Loan!$B$9)+IF(218=N(Loan!$B$11),N(Loan!$B$10),0))))</f>
        <v/>
      </c>
      <c r="H222" s="28" t="str">
        <f t="shared" si="10"/>
        <v/>
      </c>
      <c r="I222" s="28" t="str">
        <f>IF($C222="","",SUM($E$5:$E222))</f>
        <v/>
      </c>
      <c r="J222" s="29"/>
    </row>
    <row r="223" spans="1:10" x14ac:dyDescent="0.3">
      <c r="A223" s="26" t="str">
        <f>IF($C223="","",219)</f>
        <v/>
      </c>
      <c r="B223" s="27" t="str">
        <f>IF($C223="","",EDATE(Loan!$B$8,219-1))</f>
        <v/>
      </c>
      <c r="C223" s="28" t="str">
        <f t="shared" si="11"/>
        <v/>
      </c>
      <c r="D223" s="28" t="str">
        <f t="shared" si="9"/>
        <v/>
      </c>
      <c r="E223" s="28" t="str">
        <f>IF($C223="","",ROUND($C223*Loan!$B$6/12,2))</f>
        <v/>
      </c>
      <c r="F223" s="28" t="str">
        <f>IF($C223="","",IF(219&gt;=Loan!$B$7,$C223,MIN($C223,MAX(0,Loan!$B$14-$E223))))</f>
        <v/>
      </c>
      <c r="G223" s="28" t="str">
        <f>IF($C223="","",MAX(0,MIN($C223-$F223,N(Loan!$B$9)+IF(219=N(Loan!$B$11),N(Loan!$B$10),0))))</f>
        <v/>
      </c>
      <c r="H223" s="28" t="str">
        <f t="shared" si="10"/>
        <v/>
      </c>
      <c r="I223" s="28" t="str">
        <f>IF($C223="","",SUM($E$5:$E223))</f>
        <v/>
      </c>
      <c r="J223" s="29"/>
    </row>
    <row r="224" spans="1:10" x14ac:dyDescent="0.3">
      <c r="A224" s="26" t="str">
        <f>IF($C224="","",220)</f>
        <v/>
      </c>
      <c r="B224" s="27" t="str">
        <f>IF($C224="","",EDATE(Loan!$B$8,220-1))</f>
        <v/>
      </c>
      <c r="C224" s="28" t="str">
        <f t="shared" si="11"/>
        <v/>
      </c>
      <c r="D224" s="28" t="str">
        <f t="shared" si="9"/>
        <v/>
      </c>
      <c r="E224" s="28" t="str">
        <f>IF($C224="","",ROUND($C224*Loan!$B$6/12,2))</f>
        <v/>
      </c>
      <c r="F224" s="28" t="str">
        <f>IF($C224="","",IF(220&gt;=Loan!$B$7,$C224,MIN($C224,MAX(0,Loan!$B$14-$E224))))</f>
        <v/>
      </c>
      <c r="G224" s="28" t="str">
        <f>IF($C224="","",MAX(0,MIN($C224-$F224,N(Loan!$B$9)+IF(220=N(Loan!$B$11),N(Loan!$B$10),0))))</f>
        <v/>
      </c>
      <c r="H224" s="28" t="str">
        <f t="shared" si="10"/>
        <v/>
      </c>
      <c r="I224" s="28" t="str">
        <f>IF($C224="","",SUM($E$5:$E224))</f>
        <v/>
      </c>
      <c r="J224" s="29"/>
    </row>
    <row r="225" spans="1:10" x14ac:dyDescent="0.3">
      <c r="A225" s="26" t="str">
        <f>IF($C225="","",221)</f>
        <v/>
      </c>
      <c r="B225" s="27" t="str">
        <f>IF($C225="","",EDATE(Loan!$B$8,221-1))</f>
        <v/>
      </c>
      <c r="C225" s="28" t="str">
        <f t="shared" si="11"/>
        <v/>
      </c>
      <c r="D225" s="28" t="str">
        <f t="shared" si="9"/>
        <v/>
      </c>
      <c r="E225" s="28" t="str">
        <f>IF($C225="","",ROUND($C225*Loan!$B$6/12,2))</f>
        <v/>
      </c>
      <c r="F225" s="28" t="str">
        <f>IF($C225="","",IF(221&gt;=Loan!$B$7,$C225,MIN($C225,MAX(0,Loan!$B$14-$E225))))</f>
        <v/>
      </c>
      <c r="G225" s="28" t="str">
        <f>IF($C225="","",MAX(0,MIN($C225-$F225,N(Loan!$B$9)+IF(221=N(Loan!$B$11),N(Loan!$B$10),0))))</f>
        <v/>
      </c>
      <c r="H225" s="28" t="str">
        <f t="shared" si="10"/>
        <v/>
      </c>
      <c r="I225" s="28" t="str">
        <f>IF($C225="","",SUM($E$5:$E225))</f>
        <v/>
      </c>
      <c r="J225" s="29"/>
    </row>
    <row r="226" spans="1:10" x14ac:dyDescent="0.3">
      <c r="A226" s="26" t="str">
        <f>IF($C226="","",222)</f>
        <v/>
      </c>
      <c r="B226" s="27" t="str">
        <f>IF($C226="","",EDATE(Loan!$B$8,222-1))</f>
        <v/>
      </c>
      <c r="C226" s="28" t="str">
        <f t="shared" si="11"/>
        <v/>
      </c>
      <c r="D226" s="28" t="str">
        <f t="shared" si="9"/>
        <v/>
      </c>
      <c r="E226" s="28" t="str">
        <f>IF($C226="","",ROUND($C226*Loan!$B$6/12,2))</f>
        <v/>
      </c>
      <c r="F226" s="28" t="str">
        <f>IF($C226="","",IF(222&gt;=Loan!$B$7,$C226,MIN($C226,MAX(0,Loan!$B$14-$E226))))</f>
        <v/>
      </c>
      <c r="G226" s="28" t="str">
        <f>IF($C226="","",MAX(0,MIN($C226-$F226,N(Loan!$B$9)+IF(222=N(Loan!$B$11),N(Loan!$B$10),0))))</f>
        <v/>
      </c>
      <c r="H226" s="28" t="str">
        <f t="shared" si="10"/>
        <v/>
      </c>
      <c r="I226" s="28" t="str">
        <f>IF($C226="","",SUM($E$5:$E226))</f>
        <v/>
      </c>
      <c r="J226" s="29"/>
    </row>
    <row r="227" spans="1:10" x14ac:dyDescent="0.3">
      <c r="A227" s="26" t="str">
        <f>IF($C227="","",223)</f>
        <v/>
      </c>
      <c r="B227" s="27" t="str">
        <f>IF($C227="","",EDATE(Loan!$B$8,223-1))</f>
        <v/>
      </c>
      <c r="C227" s="28" t="str">
        <f t="shared" si="11"/>
        <v/>
      </c>
      <c r="D227" s="28" t="str">
        <f t="shared" si="9"/>
        <v/>
      </c>
      <c r="E227" s="28" t="str">
        <f>IF($C227="","",ROUND($C227*Loan!$B$6/12,2))</f>
        <v/>
      </c>
      <c r="F227" s="28" t="str">
        <f>IF($C227="","",IF(223&gt;=Loan!$B$7,$C227,MIN($C227,MAX(0,Loan!$B$14-$E227))))</f>
        <v/>
      </c>
      <c r="G227" s="28" t="str">
        <f>IF($C227="","",MAX(0,MIN($C227-$F227,N(Loan!$B$9)+IF(223=N(Loan!$B$11),N(Loan!$B$10),0))))</f>
        <v/>
      </c>
      <c r="H227" s="28" t="str">
        <f t="shared" si="10"/>
        <v/>
      </c>
      <c r="I227" s="28" t="str">
        <f>IF($C227="","",SUM($E$5:$E227))</f>
        <v/>
      </c>
      <c r="J227" s="29"/>
    </row>
    <row r="228" spans="1:10" x14ac:dyDescent="0.3">
      <c r="A228" s="26" t="str">
        <f>IF($C228="","",224)</f>
        <v/>
      </c>
      <c r="B228" s="27" t="str">
        <f>IF($C228="","",EDATE(Loan!$B$8,224-1))</f>
        <v/>
      </c>
      <c r="C228" s="28" t="str">
        <f t="shared" si="11"/>
        <v/>
      </c>
      <c r="D228" s="28" t="str">
        <f t="shared" si="9"/>
        <v/>
      </c>
      <c r="E228" s="28" t="str">
        <f>IF($C228="","",ROUND($C228*Loan!$B$6/12,2))</f>
        <v/>
      </c>
      <c r="F228" s="28" t="str">
        <f>IF($C228="","",IF(224&gt;=Loan!$B$7,$C228,MIN($C228,MAX(0,Loan!$B$14-$E228))))</f>
        <v/>
      </c>
      <c r="G228" s="28" t="str">
        <f>IF($C228="","",MAX(0,MIN($C228-$F228,N(Loan!$B$9)+IF(224=N(Loan!$B$11),N(Loan!$B$10),0))))</f>
        <v/>
      </c>
      <c r="H228" s="28" t="str">
        <f t="shared" si="10"/>
        <v/>
      </c>
      <c r="I228" s="28" t="str">
        <f>IF($C228="","",SUM($E$5:$E228))</f>
        <v/>
      </c>
      <c r="J228" s="29"/>
    </row>
    <row r="229" spans="1:10" x14ac:dyDescent="0.3">
      <c r="A229" s="26" t="str">
        <f>IF($C229="","",225)</f>
        <v/>
      </c>
      <c r="B229" s="27" t="str">
        <f>IF($C229="","",EDATE(Loan!$B$8,225-1))</f>
        <v/>
      </c>
      <c r="C229" s="28" t="str">
        <f t="shared" si="11"/>
        <v/>
      </c>
      <c r="D229" s="28" t="str">
        <f t="shared" si="9"/>
        <v/>
      </c>
      <c r="E229" s="28" t="str">
        <f>IF($C229="","",ROUND($C229*Loan!$B$6/12,2))</f>
        <v/>
      </c>
      <c r="F229" s="28" t="str">
        <f>IF($C229="","",IF(225&gt;=Loan!$B$7,$C229,MIN($C229,MAX(0,Loan!$B$14-$E229))))</f>
        <v/>
      </c>
      <c r="G229" s="28" t="str">
        <f>IF($C229="","",MAX(0,MIN($C229-$F229,N(Loan!$B$9)+IF(225=N(Loan!$B$11),N(Loan!$B$10),0))))</f>
        <v/>
      </c>
      <c r="H229" s="28" t="str">
        <f t="shared" si="10"/>
        <v/>
      </c>
      <c r="I229" s="28" t="str">
        <f>IF($C229="","",SUM($E$5:$E229))</f>
        <v/>
      </c>
      <c r="J229" s="29"/>
    </row>
    <row r="230" spans="1:10" x14ac:dyDescent="0.3">
      <c r="A230" s="26" t="str">
        <f>IF($C230="","",226)</f>
        <v/>
      </c>
      <c r="B230" s="27" t="str">
        <f>IF($C230="","",EDATE(Loan!$B$8,226-1))</f>
        <v/>
      </c>
      <c r="C230" s="28" t="str">
        <f t="shared" si="11"/>
        <v/>
      </c>
      <c r="D230" s="28" t="str">
        <f t="shared" si="9"/>
        <v/>
      </c>
      <c r="E230" s="28" t="str">
        <f>IF($C230="","",ROUND($C230*Loan!$B$6/12,2))</f>
        <v/>
      </c>
      <c r="F230" s="28" t="str">
        <f>IF($C230="","",IF(226&gt;=Loan!$B$7,$C230,MIN($C230,MAX(0,Loan!$B$14-$E230))))</f>
        <v/>
      </c>
      <c r="G230" s="28" t="str">
        <f>IF($C230="","",MAX(0,MIN($C230-$F230,N(Loan!$B$9)+IF(226=N(Loan!$B$11),N(Loan!$B$10),0))))</f>
        <v/>
      </c>
      <c r="H230" s="28" t="str">
        <f t="shared" si="10"/>
        <v/>
      </c>
      <c r="I230" s="28" t="str">
        <f>IF($C230="","",SUM($E$5:$E230))</f>
        <v/>
      </c>
      <c r="J230" s="29"/>
    </row>
    <row r="231" spans="1:10" x14ac:dyDescent="0.3">
      <c r="A231" s="26" t="str">
        <f>IF($C231="","",227)</f>
        <v/>
      </c>
      <c r="B231" s="27" t="str">
        <f>IF($C231="","",EDATE(Loan!$B$8,227-1))</f>
        <v/>
      </c>
      <c r="C231" s="28" t="str">
        <f t="shared" si="11"/>
        <v/>
      </c>
      <c r="D231" s="28" t="str">
        <f t="shared" si="9"/>
        <v/>
      </c>
      <c r="E231" s="28" t="str">
        <f>IF($C231="","",ROUND($C231*Loan!$B$6/12,2))</f>
        <v/>
      </c>
      <c r="F231" s="28" t="str">
        <f>IF($C231="","",IF(227&gt;=Loan!$B$7,$C231,MIN($C231,MAX(0,Loan!$B$14-$E231))))</f>
        <v/>
      </c>
      <c r="G231" s="28" t="str">
        <f>IF($C231="","",MAX(0,MIN($C231-$F231,N(Loan!$B$9)+IF(227=N(Loan!$B$11),N(Loan!$B$10),0))))</f>
        <v/>
      </c>
      <c r="H231" s="28" t="str">
        <f t="shared" si="10"/>
        <v/>
      </c>
      <c r="I231" s="28" t="str">
        <f>IF($C231="","",SUM($E$5:$E231))</f>
        <v/>
      </c>
      <c r="J231" s="29"/>
    </row>
    <row r="232" spans="1:10" x14ac:dyDescent="0.3">
      <c r="A232" s="26" t="str">
        <f>IF($C232="","",228)</f>
        <v/>
      </c>
      <c r="B232" s="27" t="str">
        <f>IF($C232="","",EDATE(Loan!$B$8,228-1))</f>
        <v/>
      </c>
      <c r="C232" s="28" t="str">
        <f t="shared" si="11"/>
        <v/>
      </c>
      <c r="D232" s="28" t="str">
        <f t="shared" si="9"/>
        <v/>
      </c>
      <c r="E232" s="28" t="str">
        <f>IF($C232="","",ROUND($C232*Loan!$B$6/12,2))</f>
        <v/>
      </c>
      <c r="F232" s="28" t="str">
        <f>IF($C232="","",IF(228&gt;=Loan!$B$7,$C232,MIN($C232,MAX(0,Loan!$B$14-$E232))))</f>
        <v/>
      </c>
      <c r="G232" s="28" t="str">
        <f>IF($C232="","",MAX(0,MIN($C232-$F232,N(Loan!$B$9)+IF(228=N(Loan!$B$11),N(Loan!$B$10),0))))</f>
        <v/>
      </c>
      <c r="H232" s="28" t="str">
        <f t="shared" si="10"/>
        <v/>
      </c>
      <c r="I232" s="28" t="str">
        <f>IF($C232="","",SUM($E$5:$E232))</f>
        <v/>
      </c>
      <c r="J232" s="29"/>
    </row>
    <row r="233" spans="1:10" x14ac:dyDescent="0.3">
      <c r="A233" s="26" t="str">
        <f>IF($C233="","",229)</f>
        <v/>
      </c>
      <c r="B233" s="27" t="str">
        <f>IF($C233="","",EDATE(Loan!$B$8,229-1))</f>
        <v/>
      </c>
      <c r="C233" s="28" t="str">
        <f t="shared" si="11"/>
        <v/>
      </c>
      <c r="D233" s="28" t="str">
        <f t="shared" si="9"/>
        <v/>
      </c>
      <c r="E233" s="28" t="str">
        <f>IF($C233="","",ROUND($C233*Loan!$B$6/12,2))</f>
        <v/>
      </c>
      <c r="F233" s="28" t="str">
        <f>IF($C233="","",IF(229&gt;=Loan!$B$7,$C233,MIN($C233,MAX(0,Loan!$B$14-$E233))))</f>
        <v/>
      </c>
      <c r="G233" s="28" t="str">
        <f>IF($C233="","",MAX(0,MIN($C233-$F233,N(Loan!$B$9)+IF(229=N(Loan!$B$11),N(Loan!$B$10),0))))</f>
        <v/>
      </c>
      <c r="H233" s="28" t="str">
        <f t="shared" si="10"/>
        <v/>
      </c>
      <c r="I233" s="28" t="str">
        <f>IF($C233="","",SUM($E$5:$E233))</f>
        <v/>
      </c>
      <c r="J233" s="29"/>
    </row>
    <row r="234" spans="1:10" x14ac:dyDescent="0.3">
      <c r="A234" s="26" t="str">
        <f>IF($C234="","",230)</f>
        <v/>
      </c>
      <c r="B234" s="27" t="str">
        <f>IF($C234="","",EDATE(Loan!$B$8,230-1))</f>
        <v/>
      </c>
      <c r="C234" s="28" t="str">
        <f t="shared" si="11"/>
        <v/>
      </c>
      <c r="D234" s="28" t="str">
        <f t="shared" si="9"/>
        <v/>
      </c>
      <c r="E234" s="28" t="str">
        <f>IF($C234="","",ROUND($C234*Loan!$B$6/12,2))</f>
        <v/>
      </c>
      <c r="F234" s="28" t="str">
        <f>IF($C234="","",IF(230&gt;=Loan!$B$7,$C234,MIN($C234,MAX(0,Loan!$B$14-$E234))))</f>
        <v/>
      </c>
      <c r="G234" s="28" t="str">
        <f>IF($C234="","",MAX(0,MIN($C234-$F234,N(Loan!$B$9)+IF(230=N(Loan!$B$11),N(Loan!$B$10),0))))</f>
        <v/>
      </c>
      <c r="H234" s="28" t="str">
        <f t="shared" si="10"/>
        <v/>
      </c>
      <c r="I234" s="28" t="str">
        <f>IF($C234="","",SUM($E$5:$E234))</f>
        <v/>
      </c>
      <c r="J234" s="29"/>
    </row>
    <row r="235" spans="1:10" x14ac:dyDescent="0.3">
      <c r="A235" s="26" t="str">
        <f>IF($C235="","",231)</f>
        <v/>
      </c>
      <c r="B235" s="27" t="str">
        <f>IF($C235="","",EDATE(Loan!$B$8,231-1))</f>
        <v/>
      </c>
      <c r="C235" s="28" t="str">
        <f t="shared" si="11"/>
        <v/>
      </c>
      <c r="D235" s="28" t="str">
        <f t="shared" si="9"/>
        <v/>
      </c>
      <c r="E235" s="28" t="str">
        <f>IF($C235="","",ROUND($C235*Loan!$B$6/12,2))</f>
        <v/>
      </c>
      <c r="F235" s="28" t="str">
        <f>IF($C235="","",IF(231&gt;=Loan!$B$7,$C235,MIN($C235,MAX(0,Loan!$B$14-$E235))))</f>
        <v/>
      </c>
      <c r="G235" s="28" t="str">
        <f>IF($C235="","",MAX(0,MIN($C235-$F235,N(Loan!$B$9)+IF(231=N(Loan!$B$11),N(Loan!$B$10),0))))</f>
        <v/>
      </c>
      <c r="H235" s="28" t="str">
        <f t="shared" si="10"/>
        <v/>
      </c>
      <c r="I235" s="28" t="str">
        <f>IF($C235="","",SUM($E$5:$E235))</f>
        <v/>
      </c>
      <c r="J235" s="29"/>
    </row>
    <row r="236" spans="1:10" x14ac:dyDescent="0.3">
      <c r="A236" s="26" t="str">
        <f>IF($C236="","",232)</f>
        <v/>
      </c>
      <c r="B236" s="27" t="str">
        <f>IF($C236="","",EDATE(Loan!$B$8,232-1))</f>
        <v/>
      </c>
      <c r="C236" s="28" t="str">
        <f t="shared" si="11"/>
        <v/>
      </c>
      <c r="D236" s="28" t="str">
        <f t="shared" si="9"/>
        <v/>
      </c>
      <c r="E236" s="28" t="str">
        <f>IF($C236="","",ROUND($C236*Loan!$B$6/12,2))</f>
        <v/>
      </c>
      <c r="F236" s="28" t="str">
        <f>IF($C236="","",IF(232&gt;=Loan!$B$7,$C236,MIN($C236,MAX(0,Loan!$B$14-$E236))))</f>
        <v/>
      </c>
      <c r="G236" s="28" t="str">
        <f>IF($C236="","",MAX(0,MIN($C236-$F236,N(Loan!$B$9)+IF(232=N(Loan!$B$11),N(Loan!$B$10),0))))</f>
        <v/>
      </c>
      <c r="H236" s="28" t="str">
        <f t="shared" si="10"/>
        <v/>
      </c>
      <c r="I236" s="28" t="str">
        <f>IF($C236="","",SUM($E$5:$E236))</f>
        <v/>
      </c>
      <c r="J236" s="29"/>
    </row>
    <row r="237" spans="1:10" x14ac:dyDescent="0.3">
      <c r="A237" s="26" t="str">
        <f>IF($C237="","",233)</f>
        <v/>
      </c>
      <c r="B237" s="27" t="str">
        <f>IF($C237="","",EDATE(Loan!$B$8,233-1))</f>
        <v/>
      </c>
      <c r="C237" s="28" t="str">
        <f t="shared" si="11"/>
        <v/>
      </c>
      <c r="D237" s="28" t="str">
        <f t="shared" si="9"/>
        <v/>
      </c>
      <c r="E237" s="28" t="str">
        <f>IF($C237="","",ROUND($C237*Loan!$B$6/12,2))</f>
        <v/>
      </c>
      <c r="F237" s="28" t="str">
        <f>IF($C237="","",IF(233&gt;=Loan!$B$7,$C237,MIN($C237,MAX(0,Loan!$B$14-$E237))))</f>
        <v/>
      </c>
      <c r="G237" s="28" t="str">
        <f>IF($C237="","",MAX(0,MIN($C237-$F237,N(Loan!$B$9)+IF(233=N(Loan!$B$11),N(Loan!$B$10),0))))</f>
        <v/>
      </c>
      <c r="H237" s="28" t="str">
        <f t="shared" si="10"/>
        <v/>
      </c>
      <c r="I237" s="28" t="str">
        <f>IF($C237="","",SUM($E$5:$E237))</f>
        <v/>
      </c>
      <c r="J237" s="29"/>
    </row>
    <row r="238" spans="1:10" x14ac:dyDescent="0.3">
      <c r="A238" s="26" t="str">
        <f>IF($C238="","",234)</f>
        <v/>
      </c>
      <c r="B238" s="27" t="str">
        <f>IF($C238="","",EDATE(Loan!$B$8,234-1))</f>
        <v/>
      </c>
      <c r="C238" s="28" t="str">
        <f t="shared" si="11"/>
        <v/>
      </c>
      <c r="D238" s="28" t="str">
        <f t="shared" si="9"/>
        <v/>
      </c>
      <c r="E238" s="28" t="str">
        <f>IF($C238="","",ROUND($C238*Loan!$B$6/12,2))</f>
        <v/>
      </c>
      <c r="F238" s="28" t="str">
        <f>IF($C238="","",IF(234&gt;=Loan!$B$7,$C238,MIN($C238,MAX(0,Loan!$B$14-$E238))))</f>
        <v/>
      </c>
      <c r="G238" s="28" t="str">
        <f>IF($C238="","",MAX(0,MIN($C238-$F238,N(Loan!$B$9)+IF(234=N(Loan!$B$11),N(Loan!$B$10),0))))</f>
        <v/>
      </c>
      <c r="H238" s="28" t="str">
        <f t="shared" si="10"/>
        <v/>
      </c>
      <c r="I238" s="28" t="str">
        <f>IF($C238="","",SUM($E$5:$E238))</f>
        <v/>
      </c>
      <c r="J238" s="29"/>
    </row>
    <row r="239" spans="1:10" x14ac:dyDescent="0.3">
      <c r="A239" s="26" t="str">
        <f>IF($C239="","",235)</f>
        <v/>
      </c>
      <c r="B239" s="27" t="str">
        <f>IF($C239="","",EDATE(Loan!$B$8,235-1))</f>
        <v/>
      </c>
      <c r="C239" s="28" t="str">
        <f t="shared" si="11"/>
        <v/>
      </c>
      <c r="D239" s="28" t="str">
        <f t="shared" si="9"/>
        <v/>
      </c>
      <c r="E239" s="28" t="str">
        <f>IF($C239="","",ROUND($C239*Loan!$B$6/12,2))</f>
        <v/>
      </c>
      <c r="F239" s="28" t="str">
        <f>IF($C239="","",IF(235&gt;=Loan!$B$7,$C239,MIN($C239,MAX(0,Loan!$B$14-$E239))))</f>
        <v/>
      </c>
      <c r="G239" s="28" t="str">
        <f>IF($C239="","",MAX(0,MIN($C239-$F239,N(Loan!$B$9)+IF(235=N(Loan!$B$11),N(Loan!$B$10),0))))</f>
        <v/>
      </c>
      <c r="H239" s="28" t="str">
        <f t="shared" si="10"/>
        <v/>
      </c>
      <c r="I239" s="28" t="str">
        <f>IF($C239="","",SUM($E$5:$E239))</f>
        <v/>
      </c>
      <c r="J239" s="29"/>
    </row>
    <row r="240" spans="1:10" x14ac:dyDescent="0.3">
      <c r="A240" s="26" t="str">
        <f>IF($C240="","",236)</f>
        <v/>
      </c>
      <c r="B240" s="27" t="str">
        <f>IF($C240="","",EDATE(Loan!$B$8,236-1))</f>
        <v/>
      </c>
      <c r="C240" s="28" t="str">
        <f t="shared" si="11"/>
        <v/>
      </c>
      <c r="D240" s="28" t="str">
        <f t="shared" si="9"/>
        <v/>
      </c>
      <c r="E240" s="28" t="str">
        <f>IF($C240="","",ROUND($C240*Loan!$B$6/12,2))</f>
        <v/>
      </c>
      <c r="F240" s="28" t="str">
        <f>IF($C240="","",IF(236&gt;=Loan!$B$7,$C240,MIN($C240,MAX(0,Loan!$B$14-$E240))))</f>
        <v/>
      </c>
      <c r="G240" s="28" t="str">
        <f>IF($C240="","",MAX(0,MIN($C240-$F240,N(Loan!$B$9)+IF(236=N(Loan!$B$11),N(Loan!$B$10),0))))</f>
        <v/>
      </c>
      <c r="H240" s="28" t="str">
        <f t="shared" si="10"/>
        <v/>
      </c>
      <c r="I240" s="28" t="str">
        <f>IF($C240="","",SUM($E$5:$E240))</f>
        <v/>
      </c>
      <c r="J240" s="29"/>
    </row>
    <row r="241" spans="1:10" x14ac:dyDescent="0.3">
      <c r="A241" s="26" t="str">
        <f>IF($C241="","",237)</f>
        <v/>
      </c>
      <c r="B241" s="27" t="str">
        <f>IF($C241="","",EDATE(Loan!$B$8,237-1))</f>
        <v/>
      </c>
      <c r="C241" s="28" t="str">
        <f t="shared" si="11"/>
        <v/>
      </c>
      <c r="D241" s="28" t="str">
        <f t="shared" si="9"/>
        <v/>
      </c>
      <c r="E241" s="28" t="str">
        <f>IF($C241="","",ROUND($C241*Loan!$B$6/12,2))</f>
        <v/>
      </c>
      <c r="F241" s="28" t="str">
        <f>IF($C241="","",IF(237&gt;=Loan!$B$7,$C241,MIN($C241,MAX(0,Loan!$B$14-$E241))))</f>
        <v/>
      </c>
      <c r="G241" s="28" t="str">
        <f>IF($C241="","",MAX(0,MIN($C241-$F241,N(Loan!$B$9)+IF(237=N(Loan!$B$11),N(Loan!$B$10),0))))</f>
        <v/>
      </c>
      <c r="H241" s="28" t="str">
        <f t="shared" si="10"/>
        <v/>
      </c>
      <c r="I241" s="28" t="str">
        <f>IF($C241="","",SUM($E$5:$E241))</f>
        <v/>
      </c>
      <c r="J241" s="29"/>
    </row>
    <row r="242" spans="1:10" x14ac:dyDescent="0.3">
      <c r="A242" s="26" t="str">
        <f>IF($C242="","",238)</f>
        <v/>
      </c>
      <c r="B242" s="27" t="str">
        <f>IF($C242="","",EDATE(Loan!$B$8,238-1))</f>
        <v/>
      </c>
      <c r="C242" s="28" t="str">
        <f t="shared" si="11"/>
        <v/>
      </c>
      <c r="D242" s="28" t="str">
        <f t="shared" si="9"/>
        <v/>
      </c>
      <c r="E242" s="28" t="str">
        <f>IF($C242="","",ROUND($C242*Loan!$B$6/12,2))</f>
        <v/>
      </c>
      <c r="F242" s="28" t="str">
        <f>IF($C242="","",IF(238&gt;=Loan!$B$7,$C242,MIN($C242,MAX(0,Loan!$B$14-$E242))))</f>
        <v/>
      </c>
      <c r="G242" s="28" t="str">
        <f>IF($C242="","",MAX(0,MIN($C242-$F242,N(Loan!$B$9)+IF(238=N(Loan!$B$11),N(Loan!$B$10),0))))</f>
        <v/>
      </c>
      <c r="H242" s="28" t="str">
        <f t="shared" si="10"/>
        <v/>
      </c>
      <c r="I242" s="28" t="str">
        <f>IF($C242="","",SUM($E$5:$E242))</f>
        <v/>
      </c>
      <c r="J242" s="29"/>
    </row>
    <row r="243" spans="1:10" x14ac:dyDescent="0.3">
      <c r="A243" s="26" t="str">
        <f>IF($C243="","",239)</f>
        <v/>
      </c>
      <c r="B243" s="27" t="str">
        <f>IF($C243="","",EDATE(Loan!$B$8,239-1))</f>
        <v/>
      </c>
      <c r="C243" s="28" t="str">
        <f t="shared" si="11"/>
        <v/>
      </c>
      <c r="D243" s="28" t="str">
        <f t="shared" si="9"/>
        <v/>
      </c>
      <c r="E243" s="28" t="str">
        <f>IF($C243="","",ROUND($C243*Loan!$B$6/12,2))</f>
        <v/>
      </c>
      <c r="F243" s="28" t="str">
        <f>IF($C243="","",IF(239&gt;=Loan!$B$7,$C243,MIN($C243,MAX(0,Loan!$B$14-$E243))))</f>
        <v/>
      </c>
      <c r="G243" s="28" t="str">
        <f>IF($C243="","",MAX(0,MIN($C243-$F243,N(Loan!$B$9)+IF(239=N(Loan!$B$11),N(Loan!$B$10),0))))</f>
        <v/>
      </c>
      <c r="H243" s="28" t="str">
        <f t="shared" si="10"/>
        <v/>
      </c>
      <c r="I243" s="28" t="str">
        <f>IF($C243="","",SUM($E$5:$E243))</f>
        <v/>
      </c>
      <c r="J243" s="29"/>
    </row>
    <row r="244" spans="1:10" x14ac:dyDescent="0.3">
      <c r="A244" s="26" t="str">
        <f>IF($C244="","",240)</f>
        <v/>
      </c>
      <c r="B244" s="27" t="str">
        <f>IF($C244="","",EDATE(Loan!$B$8,240-1))</f>
        <v/>
      </c>
      <c r="C244" s="28" t="str">
        <f t="shared" si="11"/>
        <v/>
      </c>
      <c r="D244" s="28" t="str">
        <f t="shared" si="9"/>
        <v/>
      </c>
      <c r="E244" s="28" t="str">
        <f>IF($C244="","",ROUND($C244*Loan!$B$6/12,2))</f>
        <v/>
      </c>
      <c r="F244" s="28" t="str">
        <f>IF($C244="","",IF(240&gt;=Loan!$B$7,$C244,MIN($C244,MAX(0,Loan!$B$14-$E244))))</f>
        <v/>
      </c>
      <c r="G244" s="28" t="str">
        <f>IF($C244="","",MAX(0,MIN($C244-$F244,N(Loan!$B$9)+IF(240=N(Loan!$B$11),N(Loan!$B$10),0))))</f>
        <v/>
      </c>
      <c r="H244" s="28" t="str">
        <f t="shared" si="10"/>
        <v/>
      </c>
      <c r="I244" s="28" t="str">
        <f>IF($C244="","",SUM($E$5:$E244))</f>
        <v/>
      </c>
      <c r="J244" s="29"/>
    </row>
    <row r="245" spans="1:10" x14ac:dyDescent="0.3">
      <c r="A245" s="26" t="str">
        <f>IF($C245="","",241)</f>
        <v/>
      </c>
      <c r="B245" s="27" t="str">
        <f>IF($C245="","",EDATE(Loan!$B$8,241-1))</f>
        <v/>
      </c>
      <c r="C245" s="28" t="str">
        <f t="shared" si="11"/>
        <v/>
      </c>
      <c r="D245" s="28" t="str">
        <f t="shared" si="9"/>
        <v/>
      </c>
      <c r="E245" s="28" t="str">
        <f>IF($C245="","",ROUND($C245*Loan!$B$6/12,2))</f>
        <v/>
      </c>
      <c r="F245" s="28" t="str">
        <f>IF($C245="","",IF(241&gt;=Loan!$B$7,$C245,MIN($C245,MAX(0,Loan!$B$14-$E245))))</f>
        <v/>
      </c>
      <c r="G245" s="28" t="str">
        <f>IF($C245="","",MAX(0,MIN($C245-$F245,N(Loan!$B$9)+IF(241=N(Loan!$B$11),N(Loan!$B$10),0))))</f>
        <v/>
      </c>
      <c r="H245" s="28" t="str">
        <f t="shared" si="10"/>
        <v/>
      </c>
      <c r="I245" s="28" t="str">
        <f>IF($C245="","",SUM($E$5:$E245))</f>
        <v/>
      </c>
      <c r="J245" s="29"/>
    </row>
    <row r="246" spans="1:10" x14ac:dyDescent="0.3">
      <c r="A246" s="26" t="str">
        <f>IF($C246="","",242)</f>
        <v/>
      </c>
      <c r="B246" s="27" t="str">
        <f>IF($C246="","",EDATE(Loan!$B$8,242-1))</f>
        <v/>
      </c>
      <c r="C246" s="28" t="str">
        <f t="shared" si="11"/>
        <v/>
      </c>
      <c r="D246" s="28" t="str">
        <f t="shared" si="9"/>
        <v/>
      </c>
      <c r="E246" s="28" t="str">
        <f>IF($C246="","",ROUND($C246*Loan!$B$6/12,2))</f>
        <v/>
      </c>
      <c r="F246" s="28" t="str">
        <f>IF($C246="","",IF(242&gt;=Loan!$B$7,$C246,MIN($C246,MAX(0,Loan!$B$14-$E246))))</f>
        <v/>
      </c>
      <c r="G246" s="28" t="str">
        <f>IF($C246="","",MAX(0,MIN($C246-$F246,N(Loan!$B$9)+IF(242=N(Loan!$B$11),N(Loan!$B$10),0))))</f>
        <v/>
      </c>
      <c r="H246" s="28" t="str">
        <f t="shared" si="10"/>
        <v/>
      </c>
      <c r="I246" s="28" t="str">
        <f>IF($C246="","",SUM($E$5:$E246))</f>
        <v/>
      </c>
      <c r="J246" s="29"/>
    </row>
    <row r="247" spans="1:10" x14ac:dyDescent="0.3">
      <c r="A247" s="26" t="str">
        <f>IF($C247="","",243)</f>
        <v/>
      </c>
      <c r="B247" s="27" t="str">
        <f>IF($C247="","",EDATE(Loan!$B$8,243-1))</f>
        <v/>
      </c>
      <c r="C247" s="28" t="str">
        <f t="shared" si="11"/>
        <v/>
      </c>
      <c r="D247" s="28" t="str">
        <f t="shared" si="9"/>
        <v/>
      </c>
      <c r="E247" s="28" t="str">
        <f>IF($C247="","",ROUND($C247*Loan!$B$6/12,2))</f>
        <v/>
      </c>
      <c r="F247" s="28" t="str">
        <f>IF($C247="","",IF(243&gt;=Loan!$B$7,$C247,MIN($C247,MAX(0,Loan!$B$14-$E247))))</f>
        <v/>
      </c>
      <c r="G247" s="28" t="str">
        <f>IF($C247="","",MAX(0,MIN($C247-$F247,N(Loan!$B$9)+IF(243=N(Loan!$B$11),N(Loan!$B$10),0))))</f>
        <v/>
      </c>
      <c r="H247" s="28" t="str">
        <f t="shared" si="10"/>
        <v/>
      </c>
      <c r="I247" s="28" t="str">
        <f>IF($C247="","",SUM($E$5:$E247))</f>
        <v/>
      </c>
      <c r="J247" s="29"/>
    </row>
    <row r="248" spans="1:10" x14ac:dyDescent="0.3">
      <c r="A248" s="26" t="str">
        <f>IF($C248="","",244)</f>
        <v/>
      </c>
      <c r="B248" s="27" t="str">
        <f>IF($C248="","",EDATE(Loan!$B$8,244-1))</f>
        <v/>
      </c>
      <c r="C248" s="28" t="str">
        <f t="shared" si="11"/>
        <v/>
      </c>
      <c r="D248" s="28" t="str">
        <f t="shared" si="9"/>
        <v/>
      </c>
      <c r="E248" s="28" t="str">
        <f>IF($C248="","",ROUND($C248*Loan!$B$6/12,2))</f>
        <v/>
      </c>
      <c r="F248" s="28" t="str">
        <f>IF($C248="","",IF(244&gt;=Loan!$B$7,$C248,MIN($C248,MAX(0,Loan!$B$14-$E248))))</f>
        <v/>
      </c>
      <c r="G248" s="28" t="str">
        <f>IF($C248="","",MAX(0,MIN($C248-$F248,N(Loan!$B$9)+IF(244=N(Loan!$B$11),N(Loan!$B$10),0))))</f>
        <v/>
      </c>
      <c r="H248" s="28" t="str">
        <f t="shared" si="10"/>
        <v/>
      </c>
      <c r="I248" s="28" t="str">
        <f>IF($C248="","",SUM($E$5:$E248))</f>
        <v/>
      </c>
      <c r="J248" s="29"/>
    </row>
    <row r="249" spans="1:10" x14ac:dyDescent="0.3">
      <c r="A249" s="26" t="str">
        <f>IF($C249="","",245)</f>
        <v/>
      </c>
      <c r="B249" s="27" t="str">
        <f>IF($C249="","",EDATE(Loan!$B$8,245-1))</f>
        <v/>
      </c>
      <c r="C249" s="28" t="str">
        <f t="shared" si="11"/>
        <v/>
      </c>
      <c r="D249" s="28" t="str">
        <f t="shared" si="9"/>
        <v/>
      </c>
      <c r="E249" s="28" t="str">
        <f>IF($C249="","",ROUND($C249*Loan!$B$6/12,2))</f>
        <v/>
      </c>
      <c r="F249" s="28" t="str">
        <f>IF($C249="","",IF(245&gt;=Loan!$B$7,$C249,MIN($C249,MAX(0,Loan!$B$14-$E249))))</f>
        <v/>
      </c>
      <c r="G249" s="28" t="str">
        <f>IF($C249="","",MAX(0,MIN($C249-$F249,N(Loan!$B$9)+IF(245=N(Loan!$B$11),N(Loan!$B$10),0))))</f>
        <v/>
      </c>
      <c r="H249" s="28" t="str">
        <f t="shared" si="10"/>
        <v/>
      </c>
      <c r="I249" s="28" t="str">
        <f>IF($C249="","",SUM($E$5:$E249))</f>
        <v/>
      </c>
      <c r="J249" s="29"/>
    </row>
    <row r="250" spans="1:10" x14ac:dyDescent="0.3">
      <c r="A250" s="26" t="str">
        <f>IF($C250="","",246)</f>
        <v/>
      </c>
      <c r="B250" s="27" t="str">
        <f>IF($C250="","",EDATE(Loan!$B$8,246-1))</f>
        <v/>
      </c>
      <c r="C250" s="28" t="str">
        <f t="shared" si="11"/>
        <v/>
      </c>
      <c r="D250" s="28" t="str">
        <f t="shared" si="9"/>
        <v/>
      </c>
      <c r="E250" s="28" t="str">
        <f>IF($C250="","",ROUND($C250*Loan!$B$6/12,2))</f>
        <v/>
      </c>
      <c r="F250" s="28" t="str">
        <f>IF($C250="","",IF(246&gt;=Loan!$B$7,$C250,MIN($C250,MAX(0,Loan!$B$14-$E250))))</f>
        <v/>
      </c>
      <c r="G250" s="28" t="str">
        <f>IF($C250="","",MAX(0,MIN($C250-$F250,N(Loan!$B$9)+IF(246=N(Loan!$B$11),N(Loan!$B$10),0))))</f>
        <v/>
      </c>
      <c r="H250" s="28" t="str">
        <f t="shared" si="10"/>
        <v/>
      </c>
      <c r="I250" s="28" t="str">
        <f>IF($C250="","",SUM($E$5:$E250))</f>
        <v/>
      </c>
      <c r="J250" s="29"/>
    </row>
    <row r="251" spans="1:10" x14ac:dyDescent="0.3">
      <c r="A251" s="26" t="str">
        <f>IF($C251="","",247)</f>
        <v/>
      </c>
      <c r="B251" s="27" t="str">
        <f>IF($C251="","",EDATE(Loan!$B$8,247-1))</f>
        <v/>
      </c>
      <c r="C251" s="28" t="str">
        <f t="shared" si="11"/>
        <v/>
      </c>
      <c r="D251" s="28" t="str">
        <f t="shared" si="9"/>
        <v/>
      </c>
      <c r="E251" s="28" t="str">
        <f>IF($C251="","",ROUND($C251*Loan!$B$6/12,2))</f>
        <v/>
      </c>
      <c r="F251" s="28" t="str">
        <f>IF($C251="","",IF(247&gt;=Loan!$B$7,$C251,MIN($C251,MAX(0,Loan!$B$14-$E251))))</f>
        <v/>
      </c>
      <c r="G251" s="28" t="str">
        <f>IF($C251="","",MAX(0,MIN($C251-$F251,N(Loan!$B$9)+IF(247=N(Loan!$B$11),N(Loan!$B$10),0))))</f>
        <v/>
      </c>
      <c r="H251" s="28" t="str">
        <f t="shared" si="10"/>
        <v/>
      </c>
      <c r="I251" s="28" t="str">
        <f>IF($C251="","",SUM($E$5:$E251))</f>
        <v/>
      </c>
      <c r="J251" s="29"/>
    </row>
    <row r="252" spans="1:10" x14ac:dyDescent="0.3">
      <c r="A252" s="26" t="str">
        <f>IF($C252="","",248)</f>
        <v/>
      </c>
      <c r="B252" s="27" t="str">
        <f>IF($C252="","",EDATE(Loan!$B$8,248-1))</f>
        <v/>
      </c>
      <c r="C252" s="28" t="str">
        <f t="shared" si="11"/>
        <v/>
      </c>
      <c r="D252" s="28" t="str">
        <f t="shared" si="9"/>
        <v/>
      </c>
      <c r="E252" s="28" t="str">
        <f>IF($C252="","",ROUND($C252*Loan!$B$6/12,2))</f>
        <v/>
      </c>
      <c r="F252" s="28" t="str">
        <f>IF($C252="","",IF(248&gt;=Loan!$B$7,$C252,MIN($C252,MAX(0,Loan!$B$14-$E252))))</f>
        <v/>
      </c>
      <c r="G252" s="28" t="str">
        <f>IF($C252="","",MAX(0,MIN($C252-$F252,N(Loan!$B$9)+IF(248=N(Loan!$B$11),N(Loan!$B$10),0))))</f>
        <v/>
      </c>
      <c r="H252" s="28" t="str">
        <f t="shared" si="10"/>
        <v/>
      </c>
      <c r="I252" s="28" t="str">
        <f>IF($C252="","",SUM($E$5:$E252))</f>
        <v/>
      </c>
      <c r="J252" s="29"/>
    </row>
    <row r="253" spans="1:10" x14ac:dyDescent="0.3">
      <c r="A253" s="26" t="str">
        <f>IF($C253="","",249)</f>
        <v/>
      </c>
      <c r="B253" s="27" t="str">
        <f>IF($C253="","",EDATE(Loan!$B$8,249-1))</f>
        <v/>
      </c>
      <c r="C253" s="28" t="str">
        <f t="shared" si="11"/>
        <v/>
      </c>
      <c r="D253" s="28" t="str">
        <f t="shared" si="9"/>
        <v/>
      </c>
      <c r="E253" s="28" t="str">
        <f>IF($C253="","",ROUND($C253*Loan!$B$6/12,2))</f>
        <v/>
      </c>
      <c r="F253" s="28" t="str">
        <f>IF($C253="","",IF(249&gt;=Loan!$B$7,$C253,MIN($C253,MAX(0,Loan!$B$14-$E253))))</f>
        <v/>
      </c>
      <c r="G253" s="28" t="str">
        <f>IF($C253="","",MAX(0,MIN($C253-$F253,N(Loan!$B$9)+IF(249=N(Loan!$B$11),N(Loan!$B$10),0))))</f>
        <v/>
      </c>
      <c r="H253" s="28" t="str">
        <f t="shared" si="10"/>
        <v/>
      </c>
      <c r="I253" s="28" t="str">
        <f>IF($C253="","",SUM($E$5:$E253))</f>
        <v/>
      </c>
      <c r="J253" s="29"/>
    </row>
    <row r="254" spans="1:10" x14ac:dyDescent="0.3">
      <c r="A254" s="26" t="str">
        <f>IF($C254="","",250)</f>
        <v/>
      </c>
      <c r="B254" s="27" t="str">
        <f>IF($C254="","",EDATE(Loan!$B$8,250-1))</f>
        <v/>
      </c>
      <c r="C254" s="28" t="str">
        <f t="shared" si="11"/>
        <v/>
      </c>
      <c r="D254" s="28" t="str">
        <f t="shared" si="9"/>
        <v/>
      </c>
      <c r="E254" s="28" t="str">
        <f>IF($C254="","",ROUND($C254*Loan!$B$6/12,2))</f>
        <v/>
      </c>
      <c r="F254" s="28" t="str">
        <f>IF($C254="","",IF(250&gt;=Loan!$B$7,$C254,MIN($C254,MAX(0,Loan!$B$14-$E254))))</f>
        <v/>
      </c>
      <c r="G254" s="28" t="str">
        <f>IF($C254="","",MAX(0,MIN($C254-$F254,N(Loan!$B$9)+IF(250=N(Loan!$B$11),N(Loan!$B$10),0))))</f>
        <v/>
      </c>
      <c r="H254" s="28" t="str">
        <f t="shared" si="10"/>
        <v/>
      </c>
      <c r="I254" s="28" t="str">
        <f>IF($C254="","",SUM($E$5:$E254))</f>
        <v/>
      </c>
      <c r="J254" s="29"/>
    </row>
    <row r="255" spans="1:10" x14ac:dyDescent="0.3">
      <c r="A255" s="26" t="str">
        <f>IF($C255="","",251)</f>
        <v/>
      </c>
      <c r="B255" s="27" t="str">
        <f>IF($C255="","",EDATE(Loan!$B$8,251-1))</f>
        <v/>
      </c>
      <c r="C255" s="28" t="str">
        <f t="shared" si="11"/>
        <v/>
      </c>
      <c r="D255" s="28" t="str">
        <f t="shared" si="9"/>
        <v/>
      </c>
      <c r="E255" s="28" t="str">
        <f>IF($C255="","",ROUND($C255*Loan!$B$6/12,2))</f>
        <v/>
      </c>
      <c r="F255" s="28" t="str">
        <f>IF($C255="","",IF(251&gt;=Loan!$B$7,$C255,MIN($C255,MAX(0,Loan!$B$14-$E255))))</f>
        <v/>
      </c>
      <c r="G255" s="28" t="str">
        <f>IF($C255="","",MAX(0,MIN($C255-$F255,N(Loan!$B$9)+IF(251=N(Loan!$B$11),N(Loan!$B$10),0))))</f>
        <v/>
      </c>
      <c r="H255" s="28" t="str">
        <f t="shared" si="10"/>
        <v/>
      </c>
      <c r="I255" s="28" t="str">
        <f>IF($C255="","",SUM($E$5:$E255))</f>
        <v/>
      </c>
      <c r="J255" s="29"/>
    </row>
    <row r="256" spans="1:10" x14ac:dyDescent="0.3">
      <c r="A256" s="26" t="str">
        <f>IF($C256="","",252)</f>
        <v/>
      </c>
      <c r="B256" s="27" t="str">
        <f>IF($C256="","",EDATE(Loan!$B$8,252-1))</f>
        <v/>
      </c>
      <c r="C256" s="28" t="str">
        <f t="shared" si="11"/>
        <v/>
      </c>
      <c r="D256" s="28" t="str">
        <f t="shared" si="9"/>
        <v/>
      </c>
      <c r="E256" s="28" t="str">
        <f>IF($C256="","",ROUND($C256*Loan!$B$6/12,2))</f>
        <v/>
      </c>
      <c r="F256" s="28" t="str">
        <f>IF($C256="","",IF(252&gt;=Loan!$B$7,$C256,MIN($C256,MAX(0,Loan!$B$14-$E256))))</f>
        <v/>
      </c>
      <c r="G256" s="28" t="str">
        <f>IF($C256="","",MAX(0,MIN($C256-$F256,N(Loan!$B$9)+IF(252=N(Loan!$B$11),N(Loan!$B$10),0))))</f>
        <v/>
      </c>
      <c r="H256" s="28" t="str">
        <f t="shared" si="10"/>
        <v/>
      </c>
      <c r="I256" s="28" t="str">
        <f>IF($C256="","",SUM($E$5:$E256))</f>
        <v/>
      </c>
      <c r="J256" s="29"/>
    </row>
    <row r="257" spans="1:10" x14ac:dyDescent="0.3">
      <c r="A257" s="26" t="str">
        <f>IF($C257="","",253)</f>
        <v/>
      </c>
      <c r="B257" s="27" t="str">
        <f>IF($C257="","",EDATE(Loan!$B$8,253-1))</f>
        <v/>
      </c>
      <c r="C257" s="28" t="str">
        <f t="shared" si="11"/>
        <v/>
      </c>
      <c r="D257" s="28" t="str">
        <f t="shared" si="9"/>
        <v/>
      </c>
      <c r="E257" s="28" t="str">
        <f>IF($C257="","",ROUND($C257*Loan!$B$6/12,2))</f>
        <v/>
      </c>
      <c r="F257" s="28" t="str">
        <f>IF($C257="","",IF(253&gt;=Loan!$B$7,$C257,MIN($C257,MAX(0,Loan!$B$14-$E257))))</f>
        <v/>
      </c>
      <c r="G257" s="28" t="str">
        <f>IF($C257="","",MAX(0,MIN($C257-$F257,N(Loan!$B$9)+IF(253=N(Loan!$B$11),N(Loan!$B$10),0))))</f>
        <v/>
      </c>
      <c r="H257" s="28" t="str">
        <f t="shared" si="10"/>
        <v/>
      </c>
      <c r="I257" s="28" t="str">
        <f>IF($C257="","",SUM($E$5:$E257))</f>
        <v/>
      </c>
      <c r="J257" s="29"/>
    </row>
    <row r="258" spans="1:10" x14ac:dyDescent="0.3">
      <c r="A258" s="26" t="str">
        <f>IF($C258="","",254)</f>
        <v/>
      </c>
      <c r="B258" s="27" t="str">
        <f>IF($C258="","",EDATE(Loan!$B$8,254-1))</f>
        <v/>
      </c>
      <c r="C258" s="28" t="str">
        <f t="shared" si="11"/>
        <v/>
      </c>
      <c r="D258" s="28" t="str">
        <f t="shared" si="9"/>
        <v/>
      </c>
      <c r="E258" s="28" t="str">
        <f>IF($C258="","",ROUND($C258*Loan!$B$6/12,2))</f>
        <v/>
      </c>
      <c r="F258" s="28" t="str">
        <f>IF($C258="","",IF(254&gt;=Loan!$B$7,$C258,MIN($C258,MAX(0,Loan!$B$14-$E258))))</f>
        <v/>
      </c>
      <c r="G258" s="28" t="str">
        <f>IF($C258="","",MAX(0,MIN($C258-$F258,N(Loan!$B$9)+IF(254=N(Loan!$B$11),N(Loan!$B$10),0))))</f>
        <v/>
      </c>
      <c r="H258" s="28" t="str">
        <f t="shared" si="10"/>
        <v/>
      </c>
      <c r="I258" s="28" t="str">
        <f>IF($C258="","",SUM($E$5:$E258))</f>
        <v/>
      </c>
      <c r="J258" s="29"/>
    </row>
    <row r="259" spans="1:10" x14ac:dyDescent="0.3">
      <c r="A259" s="26" t="str">
        <f>IF($C259="","",255)</f>
        <v/>
      </c>
      <c r="B259" s="27" t="str">
        <f>IF($C259="","",EDATE(Loan!$B$8,255-1))</f>
        <v/>
      </c>
      <c r="C259" s="28" t="str">
        <f t="shared" si="11"/>
        <v/>
      </c>
      <c r="D259" s="28" t="str">
        <f t="shared" si="9"/>
        <v/>
      </c>
      <c r="E259" s="28" t="str">
        <f>IF($C259="","",ROUND($C259*Loan!$B$6/12,2))</f>
        <v/>
      </c>
      <c r="F259" s="28" t="str">
        <f>IF($C259="","",IF(255&gt;=Loan!$B$7,$C259,MIN($C259,MAX(0,Loan!$B$14-$E259))))</f>
        <v/>
      </c>
      <c r="G259" s="28" t="str">
        <f>IF($C259="","",MAX(0,MIN($C259-$F259,N(Loan!$B$9)+IF(255=N(Loan!$B$11),N(Loan!$B$10),0))))</f>
        <v/>
      </c>
      <c r="H259" s="28" t="str">
        <f t="shared" si="10"/>
        <v/>
      </c>
      <c r="I259" s="28" t="str">
        <f>IF($C259="","",SUM($E$5:$E259))</f>
        <v/>
      </c>
      <c r="J259" s="29"/>
    </row>
    <row r="260" spans="1:10" x14ac:dyDescent="0.3">
      <c r="A260" s="26" t="str">
        <f>IF($C260="","",256)</f>
        <v/>
      </c>
      <c r="B260" s="27" t="str">
        <f>IF($C260="","",EDATE(Loan!$B$8,256-1))</f>
        <v/>
      </c>
      <c r="C260" s="28" t="str">
        <f t="shared" si="11"/>
        <v/>
      </c>
      <c r="D260" s="28" t="str">
        <f t="shared" si="9"/>
        <v/>
      </c>
      <c r="E260" s="28" t="str">
        <f>IF($C260="","",ROUND($C260*Loan!$B$6/12,2))</f>
        <v/>
      </c>
      <c r="F260" s="28" t="str">
        <f>IF($C260="","",IF(256&gt;=Loan!$B$7,$C260,MIN($C260,MAX(0,Loan!$B$14-$E260))))</f>
        <v/>
      </c>
      <c r="G260" s="28" t="str">
        <f>IF($C260="","",MAX(0,MIN($C260-$F260,N(Loan!$B$9)+IF(256=N(Loan!$B$11),N(Loan!$B$10),0))))</f>
        <v/>
      </c>
      <c r="H260" s="28" t="str">
        <f t="shared" si="10"/>
        <v/>
      </c>
      <c r="I260" s="28" t="str">
        <f>IF($C260="","",SUM($E$5:$E260))</f>
        <v/>
      </c>
      <c r="J260" s="29"/>
    </row>
    <row r="261" spans="1:10" x14ac:dyDescent="0.3">
      <c r="A261" s="26" t="str">
        <f>IF($C261="","",257)</f>
        <v/>
      </c>
      <c r="B261" s="27" t="str">
        <f>IF($C261="","",EDATE(Loan!$B$8,257-1))</f>
        <v/>
      </c>
      <c r="C261" s="28" t="str">
        <f t="shared" si="11"/>
        <v/>
      </c>
      <c r="D261" s="28" t="str">
        <f t="shared" ref="D261:D324" si="12">IF($C261="","",$E261+$F261)</f>
        <v/>
      </c>
      <c r="E261" s="28" t="str">
        <f>IF($C261="","",ROUND($C261*Loan!$B$6/12,2))</f>
        <v/>
      </c>
      <c r="F261" s="28" t="str">
        <f>IF($C261="","",IF(257&gt;=Loan!$B$7,$C261,MIN($C261,MAX(0,Loan!$B$14-$E261))))</f>
        <v/>
      </c>
      <c r="G261" s="28" t="str">
        <f>IF($C261="","",MAX(0,MIN($C261-$F261,N(Loan!$B$9)+IF(257=N(Loan!$B$11),N(Loan!$B$10),0))))</f>
        <v/>
      </c>
      <c r="H261" s="28" t="str">
        <f t="shared" ref="H261:H324" si="13">IF($C261="","",ROUND($C261-$F261-$G261,2))</f>
        <v/>
      </c>
      <c r="I261" s="28" t="str">
        <f>IF($C261="","",SUM($E$5:$E261))</f>
        <v/>
      </c>
      <c r="J261" s="29"/>
    </row>
    <row r="262" spans="1:10" x14ac:dyDescent="0.3">
      <c r="A262" s="26" t="str">
        <f>IF($C262="","",258)</f>
        <v/>
      </c>
      <c r="B262" s="27" t="str">
        <f>IF($C262="","",EDATE(Loan!$B$8,258-1))</f>
        <v/>
      </c>
      <c r="C262" s="28" t="str">
        <f t="shared" ref="C262:C325" si="14">IF(H261="","",IF(H261&lt;0.005,"",H261))</f>
        <v/>
      </c>
      <c r="D262" s="28" t="str">
        <f t="shared" si="12"/>
        <v/>
      </c>
      <c r="E262" s="28" t="str">
        <f>IF($C262="","",ROUND($C262*Loan!$B$6/12,2))</f>
        <v/>
      </c>
      <c r="F262" s="28" t="str">
        <f>IF($C262="","",IF(258&gt;=Loan!$B$7,$C262,MIN($C262,MAX(0,Loan!$B$14-$E262))))</f>
        <v/>
      </c>
      <c r="G262" s="28" t="str">
        <f>IF($C262="","",MAX(0,MIN($C262-$F262,N(Loan!$B$9)+IF(258=N(Loan!$B$11),N(Loan!$B$10),0))))</f>
        <v/>
      </c>
      <c r="H262" s="28" t="str">
        <f t="shared" si="13"/>
        <v/>
      </c>
      <c r="I262" s="28" t="str">
        <f>IF($C262="","",SUM($E$5:$E262))</f>
        <v/>
      </c>
      <c r="J262" s="29"/>
    </row>
    <row r="263" spans="1:10" x14ac:dyDescent="0.3">
      <c r="A263" s="26" t="str">
        <f>IF($C263="","",259)</f>
        <v/>
      </c>
      <c r="B263" s="27" t="str">
        <f>IF($C263="","",EDATE(Loan!$B$8,259-1))</f>
        <v/>
      </c>
      <c r="C263" s="28" t="str">
        <f t="shared" si="14"/>
        <v/>
      </c>
      <c r="D263" s="28" t="str">
        <f t="shared" si="12"/>
        <v/>
      </c>
      <c r="E263" s="28" t="str">
        <f>IF($C263="","",ROUND($C263*Loan!$B$6/12,2))</f>
        <v/>
      </c>
      <c r="F263" s="28" t="str">
        <f>IF($C263="","",IF(259&gt;=Loan!$B$7,$C263,MIN($C263,MAX(0,Loan!$B$14-$E263))))</f>
        <v/>
      </c>
      <c r="G263" s="28" t="str">
        <f>IF($C263="","",MAX(0,MIN($C263-$F263,N(Loan!$B$9)+IF(259=N(Loan!$B$11),N(Loan!$B$10),0))))</f>
        <v/>
      </c>
      <c r="H263" s="28" t="str">
        <f t="shared" si="13"/>
        <v/>
      </c>
      <c r="I263" s="28" t="str">
        <f>IF($C263="","",SUM($E$5:$E263))</f>
        <v/>
      </c>
      <c r="J263" s="29"/>
    </row>
    <row r="264" spans="1:10" x14ac:dyDescent="0.3">
      <c r="A264" s="26" t="str">
        <f>IF($C264="","",260)</f>
        <v/>
      </c>
      <c r="B264" s="27" t="str">
        <f>IF($C264="","",EDATE(Loan!$B$8,260-1))</f>
        <v/>
      </c>
      <c r="C264" s="28" t="str">
        <f t="shared" si="14"/>
        <v/>
      </c>
      <c r="D264" s="28" t="str">
        <f t="shared" si="12"/>
        <v/>
      </c>
      <c r="E264" s="28" t="str">
        <f>IF($C264="","",ROUND($C264*Loan!$B$6/12,2))</f>
        <v/>
      </c>
      <c r="F264" s="28" t="str">
        <f>IF($C264="","",IF(260&gt;=Loan!$B$7,$C264,MIN($C264,MAX(0,Loan!$B$14-$E264))))</f>
        <v/>
      </c>
      <c r="G264" s="28" t="str">
        <f>IF($C264="","",MAX(0,MIN($C264-$F264,N(Loan!$B$9)+IF(260=N(Loan!$B$11),N(Loan!$B$10),0))))</f>
        <v/>
      </c>
      <c r="H264" s="28" t="str">
        <f t="shared" si="13"/>
        <v/>
      </c>
      <c r="I264" s="28" t="str">
        <f>IF($C264="","",SUM($E$5:$E264))</f>
        <v/>
      </c>
      <c r="J264" s="29"/>
    </row>
    <row r="265" spans="1:10" x14ac:dyDescent="0.3">
      <c r="A265" s="26" t="str">
        <f>IF($C265="","",261)</f>
        <v/>
      </c>
      <c r="B265" s="27" t="str">
        <f>IF($C265="","",EDATE(Loan!$B$8,261-1))</f>
        <v/>
      </c>
      <c r="C265" s="28" t="str">
        <f t="shared" si="14"/>
        <v/>
      </c>
      <c r="D265" s="28" t="str">
        <f t="shared" si="12"/>
        <v/>
      </c>
      <c r="E265" s="28" t="str">
        <f>IF($C265="","",ROUND($C265*Loan!$B$6/12,2))</f>
        <v/>
      </c>
      <c r="F265" s="28" t="str">
        <f>IF($C265="","",IF(261&gt;=Loan!$B$7,$C265,MIN($C265,MAX(0,Loan!$B$14-$E265))))</f>
        <v/>
      </c>
      <c r="G265" s="28" t="str">
        <f>IF($C265="","",MAX(0,MIN($C265-$F265,N(Loan!$B$9)+IF(261=N(Loan!$B$11),N(Loan!$B$10),0))))</f>
        <v/>
      </c>
      <c r="H265" s="28" t="str">
        <f t="shared" si="13"/>
        <v/>
      </c>
      <c r="I265" s="28" t="str">
        <f>IF($C265="","",SUM($E$5:$E265))</f>
        <v/>
      </c>
      <c r="J265" s="29"/>
    </row>
    <row r="266" spans="1:10" x14ac:dyDescent="0.3">
      <c r="A266" s="26" t="str">
        <f>IF($C266="","",262)</f>
        <v/>
      </c>
      <c r="B266" s="27" t="str">
        <f>IF($C266="","",EDATE(Loan!$B$8,262-1))</f>
        <v/>
      </c>
      <c r="C266" s="28" t="str">
        <f t="shared" si="14"/>
        <v/>
      </c>
      <c r="D266" s="28" t="str">
        <f t="shared" si="12"/>
        <v/>
      </c>
      <c r="E266" s="28" t="str">
        <f>IF($C266="","",ROUND($C266*Loan!$B$6/12,2))</f>
        <v/>
      </c>
      <c r="F266" s="28" t="str">
        <f>IF($C266="","",IF(262&gt;=Loan!$B$7,$C266,MIN($C266,MAX(0,Loan!$B$14-$E266))))</f>
        <v/>
      </c>
      <c r="G266" s="28" t="str">
        <f>IF($C266="","",MAX(0,MIN($C266-$F266,N(Loan!$B$9)+IF(262=N(Loan!$B$11),N(Loan!$B$10),0))))</f>
        <v/>
      </c>
      <c r="H266" s="28" t="str">
        <f t="shared" si="13"/>
        <v/>
      </c>
      <c r="I266" s="28" t="str">
        <f>IF($C266="","",SUM($E$5:$E266))</f>
        <v/>
      </c>
      <c r="J266" s="29"/>
    </row>
    <row r="267" spans="1:10" x14ac:dyDescent="0.3">
      <c r="A267" s="26" t="str">
        <f>IF($C267="","",263)</f>
        <v/>
      </c>
      <c r="B267" s="27" t="str">
        <f>IF($C267="","",EDATE(Loan!$B$8,263-1))</f>
        <v/>
      </c>
      <c r="C267" s="28" t="str">
        <f t="shared" si="14"/>
        <v/>
      </c>
      <c r="D267" s="28" t="str">
        <f t="shared" si="12"/>
        <v/>
      </c>
      <c r="E267" s="28" t="str">
        <f>IF($C267="","",ROUND($C267*Loan!$B$6/12,2))</f>
        <v/>
      </c>
      <c r="F267" s="28" t="str">
        <f>IF($C267="","",IF(263&gt;=Loan!$B$7,$C267,MIN($C267,MAX(0,Loan!$B$14-$E267))))</f>
        <v/>
      </c>
      <c r="G267" s="28" t="str">
        <f>IF($C267="","",MAX(0,MIN($C267-$F267,N(Loan!$B$9)+IF(263=N(Loan!$B$11),N(Loan!$B$10),0))))</f>
        <v/>
      </c>
      <c r="H267" s="28" t="str">
        <f t="shared" si="13"/>
        <v/>
      </c>
      <c r="I267" s="28" t="str">
        <f>IF($C267="","",SUM($E$5:$E267))</f>
        <v/>
      </c>
      <c r="J267" s="29"/>
    </row>
    <row r="268" spans="1:10" x14ac:dyDescent="0.3">
      <c r="A268" s="26" t="str">
        <f>IF($C268="","",264)</f>
        <v/>
      </c>
      <c r="B268" s="27" t="str">
        <f>IF($C268="","",EDATE(Loan!$B$8,264-1))</f>
        <v/>
      </c>
      <c r="C268" s="28" t="str">
        <f t="shared" si="14"/>
        <v/>
      </c>
      <c r="D268" s="28" t="str">
        <f t="shared" si="12"/>
        <v/>
      </c>
      <c r="E268" s="28" t="str">
        <f>IF($C268="","",ROUND($C268*Loan!$B$6/12,2))</f>
        <v/>
      </c>
      <c r="F268" s="28" t="str">
        <f>IF($C268="","",IF(264&gt;=Loan!$B$7,$C268,MIN($C268,MAX(0,Loan!$B$14-$E268))))</f>
        <v/>
      </c>
      <c r="G268" s="28" t="str">
        <f>IF($C268="","",MAX(0,MIN($C268-$F268,N(Loan!$B$9)+IF(264=N(Loan!$B$11),N(Loan!$B$10),0))))</f>
        <v/>
      </c>
      <c r="H268" s="28" t="str">
        <f t="shared" si="13"/>
        <v/>
      </c>
      <c r="I268" s="28" t="str">
        <f>IF($C268="","",SUM($E$5:$E268))</f>
        <v/>
      </c>
      <c r="J268" s="29"/>
    </row>
    <row r="269" spans="1:10" x14ac:dyDescent="0.3">
      <c r="A269" s="26" t="str">
        <f>IF($C269="","",265)</f>
        <v/>
      </c>
      <c r="B269" s="27" t="str">
        <f>IF($C269="","",EDATE(Loan!$B$8,265-1))</f>
        <v/>
      </c>
      <c r="C269" s="28" t="str">
        <f t="shared" si="14"/>
        <v/>
      </c>
      <c r="D269" s="28" t="str">
        <f t="shared" si="12"/>
        <v/>
      </c>
      <c r="E269" s="28" t="str">
        <f>IF($C269="","",ROUND($C269*Loan!$B$6/12,2))</f>
        <v/>
      </c>
      <c r="F269" s="28" t="str">
        <f>IF($C269="","",IF(265&gt;=Loan!$B$7,$C269,MIN($C269,MAX(0,Loan!$B$14-$E269))))</f>
        <v/>
      </c>
      <c r="G269" s="28" t="str">
        <f>IF($C269="","",MAX(0,MIN($C269-$F269,N(Loan!$B$9)+IF(265=N(Loan!$B$11),N(Loan!$B$10),0))))</f>
        <v/>
      </c>
      <c r="H269" s="28" t="str">
        <f t="shared" si="13"/>
        <v/>
      </c>
      <c r="I269" s="28" t="str">
        <f>IF($C269="","",SUM($E$5:$E269))</f>
        <v/>
      </c>
      <c r="J269" s="29"/>
    </row>
    <row r="270" spans="1:10" x14ac:dyDescent="0.3">
      <c r="A270" s="26" t="str">
        <f>IF($C270="","",266)</f>
        <v/>
      </c>
      <c r="B270" s="27" t="str">
        <f>IF($C270="","",EDATE(Loan!$B$8,266-1))</f>
        <v/>
      </c>
      <c r="C270" s="28" t="str">
        <f t="shared" si="14"/>
        <v/>
      </c>
      <c r="D270" s="28" t="str">
        <f t="shared" si="12"/>
        <v/>
      </c>
      <c r="E270" s="28" t="str">
        <f>IF($C270="","",ROUND($C270*Loan!$B$6/12,2))</f>
        <v/>
      </c>
      <c r="F270" s="28" t="str">
        <f>IF($C270="","",IF(266&gt;=Loan!$B$7,$C270,MIN($C270,MAX(0,Loan!$B$14-$E270))))</f>
        <v/>
      </c>
      <c r="G270" s="28" t="str">
        <f>IF($C270="","",MAX(0,MIN($C270-$F270,N(Loan!$B$9)+IF(266=N(Loan!$B$11),N(Loan!$B$10),0))))</f>
        <v/>
      </c>
      <c r="H270" s="28" t="str">
        <f t="shared" si="13"/>
        <v/>
      </c>
      <c r="I270" s="28" t="str">
        <f>IF($C270="","",SUM($E$5:$E270))</f>
        <v/>
      </c>
      <c r="J270" s="29"/>
    </row>
    <row r="271" spans="1:10" x14ac:dyDescent="0.3">
      <c r="A271" s="26" t="str">
        <f>IF($C271="","",267)</f>
        <v/>
      </c>
      <c r="B271" s="27" t="str">
        <f>IF($C271="","",EDATE(Loan!$B$8,267-1))</f>
        <v/>
      </c>
      <c r="C271" s="28" t="str">
        <f t="shared" si="14"/>
        <v/>
      </c>
      <c r="D271" s="28" t="str">
        <f t="shared" si="12"/>
        <v/>
      </c>
      <c r="E271" s="28" t="str">
        <f>IF($C271="","",ROUND($C271*Loan!$B$6/12,2))</f>
        <v/>
      </c>
      <c r="F271" s="28" t="str">
        <f>IF($C271="","",IF(267&gt;=Loan!$B$7,$C271,MIN($C271,MAX(0,Loan!$B$14-$E271))))</f>
        <v/>
      </c>
      <c r="G271" s="28" t="str">
        <f>IF($C271="","",MAX(0,MIN($C271-$F271,N(Loan!$B$9)+IF(267=N(Loan!$B$11),N(Loan!$B$10),0))))</f>
        <v/>
      </c>
      <c r="H271" s="28" t="str">
        <f t="shared" si="13"/>
        <v/>
      </c>
      <c r="I271" s="28" t="str">
        <f>IF($C271="","",SUM($E$5:$E271))</f>
        <v/>
      </c>
      <c r="J271" s="29"/>
    </row>
    <row r="272" spans="1:10" x14ac:dyDescent="0.3">
      <c r="A272" s="26" t="str">
        <f>IF($C272="","",268)</f>
        <v/>
      </c>
      <c r="B272" s="27" t="str">
        <f>IF($C272="","",EDATE(Loan!$B$8,268-1))</f>
        <v/>
      </c>
      <c r="C272" s="28" t="str">
        <f t="shared" si="14"/>
        <v/>
      </c>
      <c r="D272" s="28" t="str">
        <f t="shared" si="12"/>
        <v/>
      </c>
      <c r="E272" s="28" t="str">
        <f>IF($C272="","",ROUND($C272*Loan!$B$6/12,2))</f>
        <v/>
      </c>
      <c r="F272" s="28" t="str">
        <f>IF($C272="","",IF(268&gt;=Loan!$B$7,$C272,MIN($C272,MAX(0,Loan!$B$14-$E272))))</f>
        <v/>
      </c>
      <c r="G272" s="28" t="str">
        <f>IF($C272="","",MAX(0,MIN($C272-$F272,N(Loan!$B$9)+IF(268=N(Loan!$B$11),N(Loan!$B$10),0))))</f>
        <v/>
      </c>
      <c r="H272" s="28" t="str">
        <f t="shared" si="13"/>
        <v/>
      </c>
      <c r="I272" s="28" t="str">
        <f>IF($C272="","",SUM($E$5:$E272))</f>
        <v/>
      </c>
      <c r="J272" s="29"/>
    </row>
    <row r="273" spans="1:10" x14ac:dyDescent="0.3">
      <c r="A273" s="26" t="str">
        <f>IF($C273="","",269)</f>
        <v/>
      </c>
      <c r="B273" s="27" t="str">
        <f>IF($C273="","",EDATE(Loan!$B$8,269-1))</f>
        <v/>
      </c>
      <c r="C273" s="28" t="str">
        <f t="shared" si="14"/>
        <v/>
      </c>
      <c r="D273" s="28" t="str">
        <f t="shared" si="12"/>
        <v/>
      </c>
      <c r="E273" s="28" t="str">
        <f>IF($C273="","",ROUND($C273*Loan!$B$6/12,2))</f>
        <v/>
      </c>
      <c r="F273" s="28" t="str">
        <f>IF($C273="","",IF(269&gt;=Loan!$B$7,$C273,MIN($C273,MAX(0,Loan!$B$14-$E273))))</f>
        <v/>
      </c>
      <c r="G273" s="28" t="str">
        <f>IF($C273="","",MAX(0,MIN($C273-$F273,N(Loan!$B$9)+IF(269=N(Loan!$B$11),N(Loan!$B$10),0))))</f>
        <v/>
      </c>
      <c r="H273" s="28" t="str">
        <f t="shared" si="13"/>
        <v/>
      </c>
      <c r="I273" s="28" t="str">
        <f>IF($C273="","",SUM($E$5:$E273))</f>
        <v/>
      </c>
      <c r="J273" s="29"/>
    </row>
    <row r="274" spans="1:10" x14ac:dyDescent="0.3">
      <c r="A274" s="26" t="str">
        <f>IF($C274="","",270)</f>
        <v/>
      </c>
      <c r="B274" s="27" t="str">
        <f>IF($C274="","",EDATE(Loan!$B$8,270-1))</f>
        <v/>
      </c>
      <c r="C274" s="28" t="str">
        <f t="shared" si="14"/>
        <v/>
      </c>
      <c r="D274" s="28" t="str">
        <f t="shared" si="12"/>
        <v/>
      </c>
      <c r="E274" s="28" t="str">
        <f>IF($C274="","",ROUND($C274*Loan!$B$6/12,2))</f>
        <v/>
      </c>
      <c r="F274" s="28" t="str">
        <f>IF($C274="","",IF(270&gt;=Loan!$B$7,$C274,MIN($C274,MAX(0,Loan!$B$14-$E274))))</f>
        <v/>
      </c>
      <c r="G274" s="28" t="str">
        <f>IF($C274="","",MAX(0,MIN($C274-$F274,N(Loan!$B$9)+IF(270=N(Loan!$B$11),N(Loan!$B$10),0))))</f>
        <v/>
      </c>
      <c r="H274" s="28" t="str">
        <f t="shared" si="13"/>
        <v/>
      </c>
      <c r="I274" s="28" t="str">
        <f>IF($C274="","",SUM($E$5:$E274))</f>
        <v/>
      </c>
      <c r="J274" s="29"/>
    </row>
    <row r="275" spans="1:10" x14ac:dyDescent="0.3">
      <c r="A275" s="26" t="str">
        <f>IF($C275="","",271)</f>
        <v/>
      </c>
      <c r="B275" s="27" t="str">
        <f>IF($C275="","",EDATE(Loan!$B$8,271-1))</f>
        <v/>
      </c>
      <c r="C275" s="28" t="str">
        <f t="shared" si="14"/>
        <v/>
      </c>
      <c r="D275" s="28" t="str">
        <f t="shared" si="12"/>
        <v/>
      </c>
      <c r="E275" s="28" t="str">
        <f>IF($C275="","",ROUND($C275*Loan!$B$6/12,2))</f>
        <v/>
      </c>
      <c r="F275" s="28" t="str">
        <f>IF($C275="","",IF(271&gt;=Loan!$B$7,$C275,MIN($C275,MAX(0,Loan!$B$14-$E275))))</f>
        <v/>
      </c>
      <c r="G275" s="28" t="str">
        <f>IF($C275="","",MAX(0,MIN($C275-$F275,N(Loan!$B$9)+IF(271=N(Loan!$B$11),N(Loan!$B$10),0))))</f>
        <v/>
      </c>
      <c r="H275" s="28" t="str">
        <f t="shared" si="13"/>
        <v/>
      </c>
      <c r="I275" s="28" t="str">
        <f>IF($C275="","",SUM($E$5:$E275))</f>
        <v/>
      </c>
      <c r="J275" s="29"/>
    </row>
    <row r="276" spans="1:10" x14ac:dyDescent="0.3">
      <c r="A276" s="26" t="str">
        <f>IF($C276="","",272)</f>
        <v/>
      </c>
      <c r="B276" s="27" t="str">
        <f>IF($C276="","",EDATE(Loan!$B$8,272-1))</f>
        <v/>
      </c>
      <c r="C276" s="28" t="str">
        <f t="shared" si="14"/>
        <v/>
      </c>
      <c r="D276" s="28" t="str">
        <f t="shared" si="12"/>
        <v/>
      </c>
      <c r="E276" s="28" t="str">
        <f>IF($C276="","",ROUND($C276*Loan!$B$6/12,2))</f>
        <v/>
      </c>
      <c r="F276" s="28" t="str">
        <f>IF($C276="","",IF(272&gt;=Loan!$B$7,$C276,MIN($C276,MAX(0,Loan!$B$14-$E276))))</f>
        <v/>
      </c>
      <c r="G276" s="28" t="str">
        <f>IF($C276="","",MAX(0,MIN($C276-$F276,N(Loan!$B$9)+IF(272=N(Loan!$B$11),N(Loan!$B$10),0))))</f>
        <v/>
      </c>
      <c r="H276" s="28" t="str">
        <f t="shared" si="13"/>
        <v/>
      </c>
      <c r="I276" s="28" t="str">
        <f>IF($C276="","",SUM($E$5:$E276))</f>
        <v/>
      </c>
      <c r="J276" s="29"/>
    </row>
    <row r="277" spans="1:10" x14ac:dyDescent="0.3">
      <c r="A277" s="26" t="str">
        <f>IF($C277="","",273)</f>
        <v/>
      </c>
      <c r="B277" s="27" t="str">
        <f>IF($C277="","",EDATE(Loan!$B$8,273-1))</f>
        <v/>
      </c>
      <c r="C277" s="28" t="str">
        <f t="shared" si="14"/>
        <v/>
      </c>
      <c r="D277" s="28" t="str">
        <f t="shared" si="12"/>
        <v/>
      </c>
      <c r="E277" s="28" t="str">
        <f>IF($C277="","",ROUND($C277*Loan!$B$6/12,2))</f>
        <v/>
      </c>
      <c r="F277" s="28" t="str">
        <f>IF($C277="","",IF(273&gt;=Loan!$B$7,$C277,MIN($C277,MAX(0,Loan!$B$14-$E277))))</f>
        <v/>
      </c>
      <c r="G277" s="28" t="str">
        <f>IF($C277="","",MAX(0,MIN($C277-$F277,N(Loan!$B$9)+IF(273=N(Loan!$B$11),N(Loan!$B$10),0))))</f>
        <v/>
      </c>
      <c r="H277" s="28" t="str">
        <f t="shared" si="13"/>
        <v/>
      </c>
      <c r="I277" s="28" t="str">
        <f>IF($C277="","",SUM($E$5:$E277))</f>
        <v/>
      </c>
      <c r="J277" s="29"/>
    </row>
    <row r="278" spans="1:10" x14ac:dyDescent="0.3">
      <c r="A278" s="26" t="str">
        <f>IF($C278="","",274)</f>
        <v/>
      </c>
      <c r="B278" s="27" t="str">
        <f>IF($C278="","",EDATE(Loan!$B$8,274-1))</f>
        <v/>
      </c>
      <c r="C278" s="28" t="str">
        <f t="shared" si="14"/>
        <v/>
      </c>
      <c r="D278" s="28" t="str">
        <f t="shared" si="12"/>
        <v/>
      </c>
      <c r="E278" s="28" t="str">
        <f>IF($C278="","",ROUND($C278*Loan!$B$6/12,2))</f>
        <v/>
      </c>
      <c r="F278" s="28" t="str">
        <f>IF($C278="","",IF(274&gt;=Loan!$B$7,$C278,MIN($C278,MAX(0,Loan!$B$14-$E278))))</f>
        <v/>
      </c>
      <c r="G278" s="28" t="str">
        <f>IF($C278="","",MAX(0,MIN($C278-$F278,N(Loan!$B$9)+IF(274=N(Loan!$B$11),N(Loan!$B$10),0))))</f>
        <v/>
      </c>
      <c r="H278" s="28" t="str">
        <f t="shared" si="13"/>
        <v/>
      </c>
      <c r="I278" s="28" t="str">
        <f>IF($C278="","",SUM($E$5:$E278))</f>
        <v/>
      </c>
      <c r="J278" s="29"/>
    </row>
    <row r="279" spans="1:10" x14ac:dyDescent="0.3">
      <c r="A279" s="26" t="str">
        <f>IF($C279="","",275)</f>
        <v/>
      </c>
      <c r="B279" s="27" t="str">
        <f>IF($C279="","",EDATE(Loan!$B$8,275-1))</f>
        <v/>
      </c>
      <c r="C279" s="28" t="str">
        <f t="shared" si="14"/>
        <v/>
      </c>
      <c r="D279" s="28" t="str">
        <f t="shared" si="12"/>
        <v/>
      </c>
      <c r="E279" s="28" t="str">
        <f>IF($C279="","",ROUND($C279*Loan!$B$6/12,2))</f>
        <v/>
      </c>
      <c r="F279" s="28" t="str">
        <f>IF($C279="","",IF(275&gt;=Loan!$B$7,$C279,MIN($C279,MAX(0,Loan!$B$14-$E279))))</f>
        <v/>
      </c>
      <c r="G279" s="28" t="str">
        <f>IF($C279="","",MAX(0,MIN($C279-$F279,N(Loan!$B$9)+IF(275=N(Loan!$B$11),N(Loan!$B$10),0))))</f>
        <v/>
      </c>
      <c r="H279" s="28" t="str">
        <f t="shared" si="13"/>
        <v/>
      </c>
      <c r="I279" s="28" t="str">
        <f>IF($C279="","",SUM($E$5:$E279))</f>
        <v/>
      </c>
      <c r="J279" s="29"/>
    </row>
    <row r="280" spans="1:10" x14ac:dyDescent="0.3">
      <c r="A280" s="26" t="str">
        <f>IF($C280="","",276)</f>
        <v/>
      </c>
      <c r="B280" s="27" t="str">
        <f>IF($C280="","",EDATE(Loan!$B$8,276-1))</f>
        <v/>
      </c>
      <c r="C280" s="28" t="str">
        <f t="shared" si="14"/>
        <v/>
      </c>
      <c r="D280" s="28" t="str">
        <f t="shared" si="12"/>
        <v/>
      </c>
      <c r="E280" s="28" t="str">
        <f>IF($C280="","",ROUND($C280*Loan!$B$6/12,2))</f>
        <v/>
      </c>
      <c r="F280" s="28" t="str">
        <f>IF($C280="","",IF(276&gt;=Loan!$B$7,$C280,MIN($C280,MAX(0,Loan!$B$14-$E280))))</f>
        <v/>
      </c>
      <c r="G280" s="28" t="str">
        <f>IF($C280="","",MAX(0,MIN($C280-$F280,N(Loan!$B$9)+IF(276=N(Loan!$B$11),N(Loan!$B$10),0))))</f>
        <v/>
      </c>
      <c r="H280" s="28" t="str">
        <f t="shared" si="13"/>
        <v/>
      </c>
      <c r="I280" s="28" t="str">
        <f>IF($C280="","",SUM($E$5:$E280))</f>
        <v/>
      </c>
      <c r="J280" s="29"/>
    </row>
    <row r="281" spans="1:10" x14ac:dyDescent="0.3">
      <c r="A281" s="26" t="str">
        <f>IF($C281="","",277)</f>
        <v/>
      </c>
      <c r="B281" s="27" t="str">
        <f>IF($C281="","",EDATE(Loan!$B$8,277-1))</f>
        <v/>
      </c>
      <c r="C281" s="28" t="str">
        <f t="shared" si="14"/>
        <v/>
      </c>
      <c r="D281" s="28" t="str">
        <f t="shared" si="12"/>
        <v/>
      </c>
      <c r="E281" s="28" t="str">
        <f>IF($C281="","",ROUND($C281*Loan!$B$6/12,2))</f>
        <v/>
      </c>
      <c r="F281" s="28" t="str">
        <f>IF($C281="","",IF(277&gt;=Loan!$B$7,$C281,MIN($C281,MAX(0,Loan!$B$14-$E281))))</f>
        <v/>
      </c>
      <c r="G281" s="28" t="str">
        <f>IF($C281="","",MAX(0,MIN($C281-$F281,N(Loan!$B$9)+IF(277=N(Loan!$B$11),N(Loan!$B$10),0))))</f>
        <v/>
      </c>
      <c r="H281" s="28" t="str">
        <f t="shared" si="13"/>
        <v/>
      </c>
      <c r="I281" s="28" t="str">
        <f>IF($C281="","",SUM($E$5:$E281))</f>
        <v/>
      </c>
      <c r="J281" s="29"/>
    </row>
    <row r="282" spans="1:10" x14ac:dyDescent="0.3">
      <c r="A282" s="26" t="str">
        <f>IF($C282="","",278)</f>
        <v/>
      </c>
      <c r="B282" s="27" t="str">
        <f>IF($C282="","",EDATE(Loan!$B$8,278-1))</f>
        <v/>
      </c>
      <c r="C282" s="28" t="str">
        <f t="shared" si="14"/>
        <v/>
      </c>
      <c r="D282" s="28" t="str">
        <f t="shared" si="12"/>
        <v/>
      </c>
      <c r="E282" s="28" t="str">
        <f>IF($C282="","",ROUND($C282*Loan!$B$6/12,2))</f>
        <v/>
      </c>
      <c r="F282" s="28" t="str">
        <f>IF($C282="","",IF(278&gt;=Loan!$B$7,$C282,MIN($C282,MAX(0,Loan!$B$14-$E282))))</f>
        <v/>
      </c>
      <c r="G282" s="28" t="str">
        <f>IF($C282="","",MAX(0,MIN($C282-$F282,N(Loan!$B$9)+IF(278=N(Loan!$B$11),N(Loan!$B$10),0))))</f>
        <v/>
      </c>
      <c r="H282" s="28" t="str">
        <f t="shared" si="13"/>
        <v/>
      </c>
      <c r="I282" s="28" t="str">
        <f>IF($C282="","",SUM($E$5:$E282))</f>
        <v/>
      </c>
      <c r="J282" s="29"/>
    </row>
    <row r="283" spans="1:10" x14ac:dyDescent="0.3">
      <c r="A283" s="26" t="str">
        <f>IF($C283="","",279)</f>
        <v/>
      </c>
      <c r="B283" s="27" t="str">
        <f>IF($C283="","",EDATE(Loan!$B$8,279-1))</f>
        <v/>
      </c>
      <c r="C283" s="28" t="str">
        <f t="shared" si="14"/>
        <v/>
      </c>
      <c r="D283" s="28" t="str">
        <f t="shared" si="12"/>
        <v/>
      </c>
      <c r="E283" s="28" t="str">
        <f>IF($C283="","",ROUND($C283*Loan!$B$6/12,2))</f>
        <v/>
      </c>
      <c r="F283" s="28" t="str">
        <f>IF($C283="","",IF(279&gt;=Loan!$B$7,$C283,MIN($C283,MAX(0,Loan!$B$14-$E283))))</f>
        <v/>
      </c>
      <c r="G283" s="28" t="str">
        <f>IF($C283="","",MAX(0,MIN($C283-$F283,N(Loan!$B$9)+IF(279=N(Loan!$B$11),N(Loan!$B$10),0))))</f>
        <v/>
      </c>
      <c r="H283" s="28" t="str">
        <f t="shared" si="13"/>
        <v/>
      </c>
      <c r="I283" s="28" t="str">
        <f>IF($C283="","",SUM($E$5:$E283))</f>
        <v/>
      </c>
      <c r="J283" s="29"/>
    </row>
    <row r="284" spans="1:10" x14ac:dyDescent="0.3">
      <c r="A284" s="26" t="str">
        <f>IF($C284="","",280)</f>
        <v/>
      </c>
      <c r="B284" s="27" t="str">
        <f>IF($C284="","",EDATE(Loan!$B$8,280-1))</f>
        <v/>
      </c>
      <c r="C284" s="28" t="str">
        <f t="shared" si="14"/>
        <v/>
      </c>
      <c r="D284" s="28" t="str">
        <f t="shared" si="12"/>
        <v/>
      </c>
      <c r="E284" s="28" t="str">
        <f>IF($C284="","",ROUND($C284*Loan!$B$6/12,2))</f>
        <v/>
      </c>
      <c r="F284" s="28" t="str">
        <f>IF($C284="","",IF(280&gt;=Loan!$B$7,$C284,MIN($C284,MAX(0,Loan!$B$14-$E284))))</f>
        <v/>
      </c>
      <c r="G284" s="28" t="str">
        <f>IF($C284="","",MAX(0,MIN($C284-$F284,N(Loan!$B$9)+IF(280=N(Loan!$B$11),N(Loan!$B$10),0))))</f>
        <v/>
      </c>
      <c r="H284" s="28" t="str">
        <f t="shared" si="13"/>
        <v/>
      </c>
      <c r="I284" s="28" t="str">
        <f>IF($C284="","",SUM($E$5:$E284))</f>
        <v/>
      </c>
      <c r="J284" s="29"/>
    </row>
    <row r="285" spans="1:10" x14ac:dyDescent="0.3">
      <c r="A285" s="26" t="str">
        <f>IF($C285="","",281)</f>
        <v/>
      </c>
      <c r="B285" s="27" t="str">
        <f>IF($C285="","",EDATE(Loan!$B$8,281-1))</f>
        <v/>
      </c>
      <c r="C285" s="28" t="str">
        <f t="shared" si="14"/>
        <v/>
      </c>
      <c r="D285" s="28" t="str">
        <f t="shared" si="12"/>
        <v/>
      </c>
      <c r="E285" s="28" t="str">
        <f>IF($C285="","",ROUND($C285*Loan!$B$6/12,2))</f>
        <v/>
      </c>
      <c r="F285" s="28" t="str">
        <f>IF($C285="","",IF(281&gt;=Loan!$B$7,$C285,MIN($C285,MAX(0,Loan!$B$14-$E285))))</f>
        <v/>
      </c>
      <c r="G285" s="28" t="str">
        <f>IF($C285="","",MAX(0,MIN($C285-$F285,N(Loan!$B$9)+IF(281=N(Loan!$B$11),N(Loan!$B$10),0))))</f>
        <v/>
      </c>
      <c r="H285" s="28" t="str">
        <f t="shared" si="13"/>
        <v/>
      </c>
      <c r="I285" s="28" t="str">
        <f>IF($C285="","",SUM($E$5:$E285))</f>
        <v/>
      </c>
      <c r="J285" s="29"/>
    </row>
    <row r="286" spans="1:10" x14ac:dyDescent="0.3">
      <c r="A286" s="26" t="str">
        <f>IF($C286="","",282)</f>
        <v/>
      </c>
      <c r="B286" s="27" t="str">
        <f>IF($C286="","",EDATE(Loan!$B$8,282-1))</f>
        <v/>
      </c>
      <c r="C286" s="28" t="str">
        <f t="shared" si="14"/>
        <v/>
      </c>
      <c r="D286" s="28" t="str">
        <f t="shared" si="12"/>
        <v/>
      </c>
      <c r="E286" s="28" t="str">
        <f>IF($C286="","",ROUND($C286*Loan!$B$6/12,2))</f>
        <v/>
      </c>
      <c r="F286" s="28" t="str">
        <f>IF($C286="","",IF(282&gt;=Loan!$B$7,$C286,MIN($C286,MAX(0,Loan!$B$14-$E286))))</f>
        <v/>
      </c>
      <c r="G286" s="28" t="str">
        <f>IF($C286="","",MAX(0,MIN($C286-$F286,N(Loan!$B$9)+IF(282=N(Loan!$B$11),N(Loan!$B$10),0))))</f>
        <v/>
      </c>
      <c r="H286" s="28" t="str">
        <f t="shared" si="13"/>
        <v/>
      </c>
      <c r="I286" s="28" t="str">
        <f>IF($C286="","",SUM($E$5:$E286))</f>
        <v/>
      </c>
      <c r="J286" s="29"/>
    </row>
    <row r="287" spans="1:10" x14ac:dyDescent="0.3">
      <c r="A287" s="26" t="str">
        <f>IF($C287="","",283)</f>
        <v/>
      </c>
      <c r="B287" s="27" t="str">
        <f>IF($C287="","",EDATE(Loan!$B$8,283-1))</f>
        <v/>
      </c>
      <c r="C287" s="28" t="str">
        <f t="shared" si="14"/>
        <v/>
      </c>
      <c r="D287" s="28" t="str">
        <f t="shared" si="12"/>
        <v/>
      </c>
      <c r="E287" s="28" t="str">
        <f>IF($C287="","",ROUND($C287*Loan!$B$6/12,2))</f>
        <v/>
      </c>
      <c r="F287" s="28" t="str">
        <f>IF($C287="","",IF(283&gt;=Loan!$B$7,$C287,MIN($C287,MAX(0,Loan!$B$14-$E287))))</f>
        <v/>
      </c>
      <c r="G287" s="28" t="str">
        <f>IF($C287="","",MAX(0,MIN($C287-$F287,N(Loan!$B$9)+IF(283=N(Loan!$B$11),N(Loan!$B$10),0))))</f>
        <v/>
      </c>
      <c r="H287" s="28" t="str">
        <f t="shared" si="13"/>
        <v/>
      </c>
      <c r="I287" s="28" t="str">
        <f>IF($C287="","",SUM($E$5:$E287))</f>
        <v/>
      </c>
      <c r="J287" s="29"/>
    </row>
    <row r="288" spans="1:10" x14ac:dyDescent="0.3">
      <c r="A288" s="26" t="str">
        <f>IF($C288="","",284)</f>
        <v/>
      </c>
      <c r="B288" s="27" t="str">
        <f>IF($C288="","",EDATE(Loan!$B$8,284-1))</f>
        <v/>
      </c>
      <c r="C288" s="28" t="str">
        <f t="shared" si="14"/>
        <v/>
      </c>
      <c r="D288" s="28" t="str">
        <f t="shared" si="12"/>
        <v/>
      </c>
      <c r="E288" s="28" t="str">
        <f>IF($C288="","",ROUND($C288*Loan!$B$6/12,2))</f>
        <v/>
      </c>
      <c r="F288" s="28" t="str">
        <f>IF($C288="","",IF(284&gt;=Loan!$B$7,$C288,MIN($C288,MAX(0,Loan!$B$14-$E288))))</f>
        <v/>
      </c>
      <c r="G288" s="28" t="str">
        <f>IF($C288="","",MAX(0,MIN($C288-$F288,N(Loan!$B$9)+IF(284=N(Loan!$B$11),N(Loan!$B$10),0))))</f>
        <v/>
      </c>
      <c r="H288" s="28" t="str">
        <f t="shared" si="13"/>
        <v/>
      </c>
      <c r="I288" s="28" t="str">
        <f>IF($C288="","",SUM($E$5:$E288))</f>
        <v/>
      </c>
      <c r="J288" s="29"/>
    </row>
    <row r="289" spans="1:10" x14ac:dyDescent="0.3">
      <c r="A289" s="26" t="str">
        <f>IF($C289="","",285)</f>
        <v/>
      </c>
      <c r="B289" s="27" t="str">
        <f>IF($C289="","",EDATE(Loan!$B$8,285-1))</f>
        <v/>
      </c>
      <c r="C289" s="28" t="str">
        <f t="shared" si="14"/>
        <v/>
      </c>
      <c r="D289" s="28" t="str">
        <f t="shared" si="12"/>
        <v/>
      </c>
      <c r="E289" s="28" t="str">
        <f>IF($C289="","",ROUND($C289*Loan!$B$6/12,2))</f>
        <v/>
      </c>
      <c r="F289" s="28" t="str">
        <f>IF($C289="","",IF(285&gt;=Loan!$B$7,$C289,MIN($C289,MAX(0,Loan!$B$14-$E289))))</f>
        <v/>
      </c>
      <c r="G289" s="28" t="str">
        <f>IF($C289="","",MAX(0,MIN($C289-$F289,N(Loan!$B$9)+IF(285=N(Loan!$B$11),N(Loan!$B$10),0))))</f>
        <v/>
      </c>
      <c r="H289" s="28" t="str">
        <f t="shared" si="13"/>
        <v/>
      </c>
      <c r="I289" s="28" t="str">
        <f>IF($C289="","",SUM($E$5:$E289))</f>
        <v/>
      </c>
      <c r="J289" s="29"/>
    </row>
    <row r="290" spans="1:10" x14ac:dyDescent="0.3">
      <c r="A290" s="26" t="str">
        <f>IF($C290="","",286)</f>
        <v/>
      </c>
      <c r="B290" s="27" t="str">
        <f>IF($C290="","",EDATE(Loan!$B$8,286-1))</f>
        <v/>
      </c>
      <c r="C290" s="28" t="str">
        <f t="shared" si="14"/>
        <v/>
      </c>
      <c r="D290" s="28" t="str">
        <f t="shared" si="12"/>
        <v/>
      </c>
      <c r="E290" s="28" t="str">
        <f>IF($C290="","",ROUND($C290*Loan!$B$6/12,2))</f>
        <v/>
      </c>
      <c r="F290" s="28" t="str">
        <f>IF($C290="","",IF(286&gt;=Loan!$B$7,$C290,MIN($C290,MAX(0,Loan!$B$14-$E290))))</f>
        <v/>
      </c>
      <c r="G290" s="28" t="str">
        <f>IF($C290="","",MAX(0,MIN($C290-$F290,N(Loan!$B$9)+IF(286=N(Loan!$B$11),N(Loan!$B$10),0))))</f>
        <v/>
      </c>
      <c r="H290" s="28" t="str">
        <f t="shared" si="13"/>
        <v/>
      </c>
      <c r="I290" s="28" t="str">
        <f>IF($C290="","",SUM($E$5:$E290))</f>
        <v/>
      </c>
      <c r="J290" s="29"/>
    </row>
    <row r="291" spans="1:10" x14ac:dyDescent="0.3">
      <c r="A291" s="26" t="str">
        <f>IF($C291="","",287)</f>
        <v/>
      </c>
      <c r="B291" s="27" t="str">
        <f>IF($C291="","",EDATE(Loan!$B$8,287-1))</f>
        <v/>
      </c>
      <c r="C291" s="28" t="str">
        <f t="shared" si="14"/>
        <v/>
      </c>
      <c r="D291" s="28" t="str">
        <f t="shared" si="12"/>
        <v/>
      </c>
      <c r="E291" s="28" t="str">
        <f>IF($C291="","",ROUND($C291*Loan!$B$6/12,2))</f>
        <v/>
      </c>
      <c r="F291" s="28" t="str">
        <f>IF($C291="","",IF(287&gt;=Loan!$B$7,$C291,MIN($C291,MAX(0,Loan!$B$14-$E291))))</f>
        <v/>
      </c>
      <c r="G291" s="28" t="str">
        <f>IF($C291="","",MAX(0,MIN($C291-$F291,N(Loan!$B$9)+IF(287=N(Loan!$B$11),N(Loan!$B$10),0))))</f>
        <v/>
      </c>
      <c r="H291" s="28" t="str">
        <f t="shared" si="13"/>
        <v/>
      </c>
      <c r="I291" s="28" t="str">
        <f>IF($C291="","",SUM($E$5:$E291))</f>
        <v/>
      </c>
      <c r="J291" s="29"/>
    </row>
    <row r="292" spans="1:10" x14ac:dyDescent="0.3">
      <c r="A292" s="26" t="str">
        <f>IF($C292="","",288)</f>
        <v/>
      </c>
      <c r="B292" s="27" t="str">
        <f>IF($C292="","",EDATE(Loan!$B$8,288-1))</f>
        <v/>
      </c>
      <c r="C292" s="28" t="str">
        <f t="shared" si="14"/>
        <v/>
      </c>
      <c r="D292" s="28" t="str">
        <f t="shared" si="12"/>
        <v/>
      </c>
      <c r="E292" s="28" t="str">
        <f>IF($C292="","",ROUND($C292*Loan!$B$6/12,2))</f>
        <v/>
      </c>
      <c r="F292" s="28" t="str">
        <f>IF($C292="","",IF(288&gt;=Loan!$B$7,$C292,MIN($C292,MAX(0,Loan!$B$14-$E292))))</f>
        <v/>
      </c>
      <c r="G292" s="28" t="str">
        <f>IF($C292="","",MAX(0,MIN($C292-$F292,N(Loan!$B$9)+IF(288=N(Loan!$B$11),N(Loan!$B$10),0))))</f>
        <v/>
      </c>
      <c r="H292" s="28" t="str">
        <f t="shared" si="13"/>
        <v/>
      </c>
      <c r="I292" s="28" t="str">
        <f>IF($C292="","",SUM($E$5:$E292))</f>
        <v/>
      </c>
      <c r="J292" s="29"/>
    </row>
    <row r="293" spans="1:10" x14ac:dyDescent="0.3">
      <c r="A293" s="26" t="str">
        <f>IF($C293="","",289)</f>
        <v/>
      </c>
      <c r="B293" s="27" t="str">
        <f>IF($C293="","",EDATE(Loan!$B$8,289-1))</f>
        <v/>
      </c>
      <c r="C293" s="28" t="str">
        <f t="shared" si="14"/>
        <v/>
      </c>
      <c r="D293" s="28" t="str">
        <f t="shared" si="12"/>
        <v/>
      </c>
      <c r="E293" s="28" t="str">
        <f>IF($C293="","",ROUND($C293*Loan!$B$6/12,2))</f>
        <v/>
      </c>
      <c r="F293" s="28" t="str">
        <f>IF($C293="","",IF(289&gt;=Loan!$B$7,$C293,MIN($C293,MAX(0,Loan!$B$14-$E293))))</f>
        <v/>
      </c>
      <c r="G293" s="28" t="str">
        <f>IF($C293="","",MAX(0,MIN($C293-$F293,N(Loan!$B$9)+IF(289=N(Loan!$B$11),N(Loan!$B$10),0))))</f>
        <v/>
      </c>
      <c r="H293" s="28" t="str">
        <f t="shared" si="13"/>
        <v/>
      </c>
      <c r="I293" s="28" t="str">
        <f>IF($C293="","",SUM($E$5:$E293))</f>
        <v/>
      </c>
      <c r="J293" s="29"/>
    </row>
    <row r="294" spans="1:10" x14ac:dyDescent="0.3">
      <c r="A294" s="26" t="str">
        <f>IF($C294="","",290)</f>
        <v/>
      </c>
      <c r="B294" s="27" t="str">
        <f>IF($C294="","",EDATE(Loan!$B$8,290-1))</f>
        <v/>
      </c>
      <c r="C294" s="28" t="str">
        <f t="shared" si="14"/>
        <v/>
      </c>
      <c r="D294" s="28" t="str">
        <f t="shared" si="12"/>
        <v/>
      </c>
      <c r="E294" s="28" t="str">
        <f>IF($C294="","",ROUND($C294*Loan!$B$6/12,2))</f>
        <v/>
      </c>
      <c r="F294" s="28" t="str">
        <f>IF($C294="","",IF(290&gt;=Loan!$B$7,$C294,MIN($C294,MAX(0,Loan!$B$14-$E294))))</f>
        <v/>
      </c>
      <c r="G294" s="28" t="str">
        <f>IF($C294="","",MAX(0,MIN($C294-$F294,N(Loan!$B$9)+IF(290=N(Loan!$B$11),N(Loan!$B$10),0))))</f>
        <v/>
      </c>
      <c r="H294" s="28" t="str">
        <f t="shared" si="13"/>
        <v/>
      </c>
      <c r="I294" s="28" t="str">
        <f>IF($C294="","",SUM($E$5:$E294))</f>
        <v/>
      </c>
      <c r="J294" s="29"/>
    </row>
    <row r="295" spans="1:10" x14ac:dyDescent="0.3">
      <c r="A295" s="26" t="str">
        <f>IF($C295="","",291)</f>
        <v/>
      </c>
      <c r="B295" s="27" t="str">
        <f>IF($C295="","",EDATE(Loan!$B$8,291-1))</f>
        <v/>
      </c>
      <c r="C295" s="28" t="str">
        <f t="shared" si="14"/>
        <v/>
      </c>
      <c r="D295" s="28" t="str">
        <f t="shared" si="12"/>
        <v/>
      </c>
      <c r="E295" s="28" t="str">
        <f>IF($C295="","",ROUND($C295*Loan!$B$6/12,2))</f>
        <v/>
      </c>
      <c r="F295" s="28" t="str">
        <f>IF($C295="","",IF(291&gt;=Loan!$B$7,$C295,MIN($C295,MAX(0,Loan!$B$14-$E295))))</f>
        <v/>
      </c>
      <c r="G295" s="28" t="str">
        <f>IF($C295="","",MAX(0,MIN($C295-$F295,N(Loan!$B$9)+IF(291=N(Loan!$B$11),N(Loan!$B$10),0))))</f>
        <v/>
      </c>
      <c r="H295" s="28" t="str">
        <f t="shared" si="13"/>
        <v/>
      </c>
      <c r="I295" s="28" t="str">
        <f>IF($C295="","",SUM($E$5:$E295))</f>
        <v/>
      </c>
      <c r="J295" s="29"/>
    </row>
    <row r="296" spans="1:10" x14ac:dyDescent="0.3">
      <c r="A296" s="26" t="str">
        <f>IF($C296="","",292)</f>
        <v/>
      </c>
      <c r="B296" s="27" t="str">
        <f>IF($C296="","",EDATE(Loan!$B$8,292-1))</f>
        <v/>
      </c>
      <c r="C296" s="28" t="str">
        <f t="shared" si="14"/>
        <v/>
      </c>
      <c r="D296" s="28" t="str">
        <f t="shared" si="12"/>
        <v/>
      </c>
      <c r="E296" s="28" t="str">
        <f>IF($C296="","",ROUND($C296*Loan!$B$6/12,2))</f>
        <v/>
      </c>
      <c r="F296" s="28" t="str">
        <f>IF($C296="","",IF(292&gt;=Loan!$B$7,$C296,MIN($C296,MAX(0,Loan!$B$14-$E296))))</f>
        <v/>
      </c>
      <c r="G296" s="28" t="str">
        <f>IF($C296="","",MAX(0,MIN($C296-$F296,N(Loan!$B$9)+IF(292=N(Loan!$B$11),N(Loan!$B$10),0))))</f>
        <v/>
      </c>
      <c r="H296" s="28" t="str">
        <f t="shared" si="13"/>
        <v/>
      </c>
      <c r="I296" s="28" t="str">
        <f>IF($C296="","",SUM($E$5:$E296))</f>
        <v/>
      </c>
      <c r="J296" s="29"/>
    </row>
    <row r="297" spans="1:10" x14ac:dyDescent="0.3">
      <c r="A297" s="26" t="str">
        <f>IF($C297="","",293)</f>
        <v/>
      </c>
      <c r="B297" s="27" t="str">
        <f>IF($C297="","",EDATE(Loan!$B$8,293-1))</f>
        <v/>
      </c>
      <c r="C297" s="28" t="str">
        <f t="shared" si="14"/>
        <v/>
      </c>
      <c r="D297" s="28" t="str">
        <f t="shared" si="12"/>
        <v/>
      </c>
      <c r="E297" s="28" t="str">
        <f>IF($C297="","",ROUND($C297*Loan!$B$6/12,2))</f>
        <v/>
      </c>
      <c r="F297" s="28" t="str">
        <f>IF($C297="","",IF(293&gt;=Loan!$B$7,$C297,MIN($C297,MAX(0,Loan!$B$14-$E297))))</f>
        <v/>
      </c>
      <c r="G297" s="28" t="str">
        <f>IF($C297="","",MAX(0,MIN($C297-$F297,N(Loan!$B$9)+IF(293=N(Loan!$B$11),N(Loan!$B$10),0))))</f>
        <v/>
      </c>
      <c r="H297" s="28" t="str">
        <f t="shared" si="13"/>
        <v/>
      </c>
      <c r="I297" s="28" t="str">
        <f>IF($C297="","",SUM($E$5:$E297))</f>
        <v/>
      </c>
      <c r="J297" s="29"/>
    </row>
    <row r="298" spans="1:10" x14ac:dyDescent="0.3">
      <c r="A298" s="26" t="str">
        <f>IF($C298="","",294)</f>
        <v/>
      </c>
      <c r="B298" s="27" t="str">
        <f>IF($C298="","",EDATE(Loan!$B$8,294-1))</f>
        <v/>
      </c>
      <c r="C298" s="28" t="str">
        <f t="shared" si="14"/>
        <v/>
      </c>
      <c r="D298" s="28" t="str">
        <f t="shared" si="12"/>
        <v/>
      </c>
      <c r="E298" s="28" t="str">
        <f>IF($C298="","",ROUND($C298*Loan!$B$6/12,2))</f>
        <v/>
      </c>
      <c r="F298" s="28" t="str">
        <f>IF($C298="","",IF(294&gt;=Loan!$B$7,$C298,MIN($C298,MAX(0,Loan!$B$14-$E298))))</f>
        <v/>
      </c>
      <c r="G298" s="28" t="str">
        <f>IF($C298="","",MAX(0,MIN($C298-$F298,N(Loan!$B$9)+IF(294=N(Loan!$B$11),N(Loan!$B$10),0))))</f>
        <v/>
      </c>
      <c r="H298" s="28" t="str">
        <f t="shared" si="13"/>
        <v/>
      </c>
      <c r="I298" s="28" t="str">
        <f>IF($C298="","",SUM($E$5:$E298))</f>
        <v/>
      </c>
      <c r="J298" s="29"/>
    </row>
    <row r="299" spans="1:10" x14ac:dyDescent="0.3">
      <c r="A299" s="26" t="str">
        <f>IF($C299="","",295)</f>
        <v/>
      </c>
      <c r="B299" s="27" t="str">
        <f>IF($C299="","",EDATE(Loan!$B$8,295-1))</f>
        <v/>
      </c>
      <c r="C299" s="28" t="str">
        <f t="shared" si="14"/>
        <v/>
      </c>
      <c r="D299" s="28" t="str">
        <f t="shared" si="12"/>
        <v/>
      </c>
      <c r="E299" s="28" t="str">
        <f>IF($C299="","",ROUND($C299*Loan!$B$6/12,2))</f>
        <v/>
      </c>
      <c r="F299" s="28" t="str">
        <f>IF($C299="","",IF(295&gt;=Loan!$B$7,$C299,MIN($C299,MAX(0,Loan!$B$14-$E299))))</f>
        <v/>
      </c>
      <c r="G299" s="28" t="str">
        <f>IF($C299="","",MAX(0,MIN($C299-$F299,N(Loan!$B$9)+IF(295=N(Loan!$B$11),N(Loan!$B$10),0))))</f>
        <v/>
      </c>
      <c r="H299" s="28" t="str">
        <f t="shared" si="13"/>
        <v/>
      </c>
      <c r="I299" s="28" t="str">
        <f>IF($C299="","",SUM($E$5:$E299))</f>
        <v/>
      </c>
      <c r="J299" s="29"/>
    </row>
    <row r="300" spans="1:10" x14ac:dyDescent="0.3">
      <c r="A300" s="26" t="str">
        <f>IF($C300="","",296)</f>
        <v/>
      </c>
      <c r="B300" s="27" t="str">
        <f>IF($C300="","",EDATE(Loan!$B$8,296-1))</f>
        <v/>
      </c>
      <c r="C300" s="28" t="str">
        <f t="shared" si="14"/>
        <v/>
      </c>
      <c r="D300" s="28" t="str">
        <f t="shared" si="12"/>
        <v/>
      </c>
      <c r="E300" s="28" t="str">
        <f>IF($C300="","",ROUND($C300*Loan!$B$6/12,2))</f>
        <v/>
      </c>
      <c r="F300" s="28" t="str">
        <f>IF($C300="","",IF(296&gt;=Loan!$B$7,$C300,MIN($C300,MAX(0,Loan!$B$14-$E300))))</f>
        <v/>
      </c>
      <c r="G300" s="28" t="str">
        <f>IF($C300="","",MAX(0,MIN($C300-$F300,N(Loan!$B$9)+IF(296=N(Loan!$B$11),N(Loan!$B$10),0))))</f>
        <v/>
      </c>
      <c r="H300" s="28" t="str">
        <f t="shared" si="13"/>
        <v/>
      </c>
      <c r="I300" s="28" t="str">
        <f>IF($C300="","",SUM($E$5:$E300))</f>
        <v/>
      </c>
      <c r="J300" s="29"/>
    </row>
    <row r="301" spans="1:10" x14ac:dyDescent="0.3">
      <c r="A301" s="26" t="str">
        <f>IF($C301="","",297)</f>
        <v/>
      </c>
      <c r="B301" s="27" t="str">
        <f>IF($C301="","",EDATE(Loan!$B$8,297-1))</f>
        <v/>
      </c>
      <c r="C301" s="28" t="str">
        <f t="shared" si="14"/>
        <v/>
      </c>
      <c r="D301" s="28" t="str">
        <f t="shared" si="12"/>
        <v/>
      </c>
      <c r="E301" s="28" t="str">
        <f>IF($C301="","",ROUND($C301*Loan!$B$6/12,2))</f>
        <v/>
      </c>
      <c r="F301" s="28" t="str">
        <f>IF($C301="","",IF(297&gt;=Loan!$B$7,$C301,MIN($C301,MAX(0,Loan!$B$14-$E301))))</f>
        <v/>
      </c>
      <c r="G301" s="28" t="str">
        <f>IF($C301="","",MAX(0,MIN($C301-$F301,N(Loan!$B$9)+IF(297=N(Loan!$B$11),N(Loan!$B$10),0))))</f>
        <v/>
      </c>
      <c r="H301" s="28" t="str">
        <f t="shared" si="13"/>
        <v/>
      </c>
      <c r="I301" s="28" t="str">
        <f>IF($C301="","",SUM($E$5:$E301))</f>
        <v/>
      </c>
      <c r="J301" s="29"/>
    </row>
    <row r="302" spans="1:10" x14ac:dyDescent="0.3">
      <c r="A302" s="26" t="str">
        <f>IF($C302="","",298)</f>
        <v/>
      </c>
      <c r="B302" s="27" t="str">
        <f>IF($C302="","",EDATE(Loan!$B$8,298-1))</f>
        <v/>
      </c>
      <c r="C302" s="28" t="str">
        <f t="shared" si="14"/>
        <v/>
      </c>
      <c r="D302" s="28" t="str">
        <f t="shared" si="12"/>
        <v/>
      </c>
      <c r="E302" s="28" t="str">
        <f>IF($C302="","",ROUND($C302*Loan!$B$6/12,2))</f>
        <v/>
      </c>
      <c r="F302" s="28" t="str">
        <f>IF($C302="","",IF(298&gt;=Loan!$B$7,$C302,MIN($C302,MAX(0,Loan!$B$14-$E302))))</f>
        <v/>
      </c>
      <c r="G302" s="28" t="str">
        <f>IF($C302="","",MAX(0,MIN($C302-$F302,N(Loan!$B$9)+IF(298=N(Loan!$B$11),N(Loan!$B$10),0))))</f>
        <v/>
      </c>
      <c r="H302" s="28" t="str">
        <f t="shared" si="13"/>
        <v/>
      </c>
      <c r="I302" s="28" t="str">
        <f>IF($C302="","",SUM($E$5:$E302))</f>
        <v/>
      </c>
      <c r="J302" s="29"/>
    </row>
    <row r="303" spans="1:10" x14ac:dyDescent="0.3">
      <c r="A303" s="26" t="str">
        <f>IF($C303="","",299)</f>
        <v/>
      </c>
      <c r="B303" s="27" t="str">
        <f>IF($C303="","",EDATE(Loan!$B$8,299-1))</f>
        <v/>
      </c>
      <c r="C303" s="28" t="str">
        <f t="shared" si="14"/>
        <v/>
      </c>
      <c r="D303" s="28" t="str">
        <f t="shared" si="12"/>
        <v/>
      </c>
      <c r="E303" s="28" t="str">
        <f>IF($C303="","",ROUND($C303*Loan!$B$6/12,2))</f>
        <v/>
      </c>
      <c r="F303" s="28" t="str">
        <f>IF($C303="","",IF(299&gt;=Loan!$B$7,$C303,MIN($C303,MAX(0,Loan!$B$14-$E303))))</f>
        <v/>
      </c>
      <c r="G303" s="28" t="str">
        <f>IF($C303="","",MAX(0,MIN($C303-$F303,N(Loan!$B$9)+IF(299=N(Loan!$B$11),N(Loan!$B$10),0))))</f>
        <v/>
      </c>
      <c r="H303" s="28" t="str">
        <f t="shared" si="13"/>
        <v/>
      </c>
      <c r="I303" s="28" t="str">
        <f>IF($C303="","",SUM($E$5:$E303))</f>
        <v/>
      </c>
      <c r="J303" s="29"/>
    </row>
    <row r="304" spans="1:10" x14ac:dyDescent="0.3">
      <c r="A304" s="26" t="str">
        <f>IF($C304="","",300)</f>
        <v/>
      </c>
      <c r="B304" s="27" t="str">
        <f>IF($C304="","",EDATE(Loan!$B$8,300-1))</f>
        <v/>
      </c>
      <c r="C304" s="28" t="str">
        <f t="shared" si="14"/>
        <v/>
      </c>
      <c r="D304" s="28" t="str">
        <f t="shared" si="12"/>
        <v/>
      </c>
      <c r="E304" s="28" t="str">
        <f>IF($C304="","",ROUND($C304*Loan!$B$6/12,2))</f>
        <v/>
      </c>
      <c r="F304" s="28" t="str">
        <f>IF($C304="","",IF(300&gt;=Loan!$B$7,$C304,MIN($C304,MAX(0,Loan!$B$14-$E304))))</f>
        <v/>
      </c>
      <c r="G304" s="28" t="str">
        <f>IF($C304="","",MAX(0,MIN($C304-$F304,N(Loan!$B$9)+IF(300=N(Loan!$B$11),N(Loan!$B$10),0))))</f>
        <v/>
      </c>
      <c r="H304" s="28" t="str">
        <f t="shared" si="13"/>
        <v/>
      </c>
      <c r="I304" s="28" t="str">
        <f>IF($C304="","",SUM($E$5:$E304))</f>
        <v/>
      </c>
      <c r="J304" s="29"/>
    </row>
    <row r="305" spans="1:10" x14ac:dyDescent="0.3">
      <c r="A305" s="26" t="str">
        <f>IF($C305="","",301)</f>
        <v/>
      </c>
      <c r="B305" s="27" t="str">
        <f>IF($C305="","",EDATE(Loan!$B$8,301-1))</f>
        <v/>
      </c>
      <c r="C305" s="28" t="str">
        <f t="shared" si="14"/>
        <v/>
      </c>
      <c r="D305" s="28" t="str">
        <f t="shared" si="12"/>
        <v/>
      </c>
      <c r="E305" s="28" t="str">
        <f>IF($C305="","",ROUND($C305*Loan!$B$6/12,2))</f>
        <v/>
      </c>
      <c r="F305" s="28" t="str">
        <f>IF($C305="","",IF(301&gt;=Loan!$B$7,$C305,MIN($C305,MAX(0,Loan!$B$14-$E305))))</f>
        <v/>
      </c>
      <c r="G305" s="28" t="str">
        <f>IF($C305="","",MAX(0,MIN($C305-$F305,N(Loan!$B$9)+IF(301=N(Loan!$B$11),N(Loan!$B$10),0))))</f>
        <v/>
      </c>
      <c r="H305" s="28" t="str">
        <f t="shared" si="13"/>
        <v/>
      </c>
      <c r="I305" s="28" t="str">
        <f>IF($C305="","",SUM($E$5:$E305))</f>
        <v/>
      </c>
      <c r="J305" s="29"/>
    </row>
    <row r="306" spans="1:10" x14ac:dyDescent="0.3">
      <c r="A306" s="26" t="str">
        <f>IF($C306="","",302)</f>
        <v/>
      </c>
      <c r="B306" s="27" t="str">
        <f>IF($C306="","",EDATE(Loan!$B$8,302-1))</f>
        <v/>
      </c>
      <c r="C306" s="28" t="str">
        <f t="shared" si="14"/>
        <v/>
      </c>
      <c r="D306" s="28" t="str">
        <f t="shared" si="12"/>
        <v/>
      </c>
      <c r="E306" s="28" t="str">
        <f>IF($C306="","",ROUND($C306*Loan!$B$6/12,2))</f>
        <v/>
      </c>
      <c r="F306" s="28" t="str">
        <f>IF($C306="","",IF(302&gt;=Loan!$B$7,$C306,MIN($C306,MAX(0,Loan!$B$14-$E306))))</f>
        <v/>
      </c>
      <c r="G306" s="28" t="str">
        <f>IF($C306="","",MAX(0,MIN($C306-$F306,N(Loan!$B$9)+IF(302=N(Loan!$B$11),N(Loan!$B$10),0))))</f>
        <v/>
      </c>
      <c r="H306" s="28" t="str">
        <f t="shared" si="13"/>
        <v/>
      </c>
      <c r="I306" s="28" t="str">
        <f>IF($C306="","",SUM($E$5:$E306))</f>
        <v/>
      </c>
      <c r="J306" s="29"/>
    </row>
    <row r="307" spans="1:10" x14ac:dyDescent="0.3">
      <c r="A307" s="26" t="str">
        <f>IF($C307="","",303)</f>
        <v/>
      </c>
      <c r="B307" s="27" t="str">
        <f>IF($C307="","",EDATE(Loan!$B$8,303-1))</f>
        <v/>
      </c>
      <c r="C307" s="28" t="str">
        <f t="shared" si="14"/>
        <v/>
      </c>
      <c r="D307" s="28" t="str">
        <f t="shared" si="12"/>
        <v/>
      </c>
      <c r="E307" s="28" t="str">
        <f>IF($C307="","",ROUND($C307*Loan!$B$6/12,2))</f>
        <v/>
      </c>
      <c r="F307" s="28" t="str">
        <f>IF($C307="","",IF(303&gt;=Loan!$B$7,$C307,MIN($C307,MAX(0,Loan!$B$14-$E307))))</f>
        <v/>
      </c>
      <c r="G307" s="28" t="str">
        <f>IF($C307="","",MAX(0,MIN($C307-$F307,N(Loan!$B$9)+IF(303=N(Loan!$B$11),N(Loan!$B$10),0))))</f>
        <v/>
      </c>
      <c r="H307" s="28" t="str">
        <f t="shared" si="13"/>
        <v/>
      </c>
      <c r="I307" s="28" t="str">
        <f>IF($C307="","",SUM($E$5:$E307))</f>
        <v/>
      </c>
      <c r="J307" s="29"/>
    </row>
    <row r="308" spans="1:10" x14ac:dyDescent="0.3">
      <c r="A308" s="26" t="str">
        <f>IF($C308="","",304)</f>
        <v/>
      </c>
      <c r="B308" s="27" t="str">
        <f>IF($C308="","",EDATE(Loan!$B$8,304-1))</f>
        <v/>
      </c>
      <c r="C308" s="28" t="str">
        <f t="shared" si="14"/>
        <v/>
      </c>
      <c r="D308" s="28" t="str">
        <f t="shared" si="12"/>
        <v/>
      </c>
      <c r="E308" s="28" t="str">
        <f>IF($C308="","",ROUND($C308*Loan!$B$6/12,2))</f>
        <v/>
      </c>
      <c r="F308" s="28" t="str">
        <f>IF($C308="","",IF(304&gt;=Loan!$B$7,$C308,MIN($C308,MAX(0,Loan!$B$14-$E308))))</f>
        <v/>
      </c>
      <c r="G308" s="28" t="str">
        <f>IF($C308="","",MAX(0,MIN($C308-$F308,N(Loan!$B$9)+IF(304=N(Loan!$B$11),N(Loan!$B$10),0))))</f>
        <v/>
      </c>
      <c r="H308" s="28" t="str">
        <f t="shared" si="13"/>
        <v/>
      </c>
      <c r="I308" s="28" t="str">
        <f>IF($C308="","",SUM($E$5:$E308))</f>
        <v/>
      </c>
      <c r="J308" s="29"/>
    </row>
    <row r="309" spans="1:10" x14ac:dyDescent="0.3">
      <c r="A309" s="26" t="str">
        <f>IF($C309="","",305)</f>
        <v/>
      </c>
      <c r="B309" s="27" t="str">
        <f>IF($C309="","",EDATE(Loan!$B$8,305-1))</f>
        <v/>
      </c>
      <c r="C309" s="28" t="str">
        <f t="shared" si="14"/>
        <v/>
      </c>
      <c r="D309" s="28" t="str">
        <f t="shared" si="12"/>
        <v/>
      </c>
      <c r="E309" s="28" t="str">
        <f>IF($C309="","",ROUND($C309*Loan!$B$6/12,2))</f>
        <v/>
      </c>
      <c r="F309" s="28" t="str">
        <f>IF($C309="","",IF(305&gt;=Loan!$B$7,$C309,MIN($C309,MAX(0,Loan!$B$14-$E309))))</f>
        <v/>
      </c>
      <c r="G309" s="28" t="str">
        <f>IF($C309="","",MAX(0,MIN($C309-$F309,N(Loan!$B$9)+IF(305=N(Loan!$B$11),N(Loan!$B$10),0))))</f>
        <v/>
      </c>
      <c r="H309" s="28" t="str">
        <f t="shared" si="13"/>
        <v/>
      </c>
      <c r="I309" s="28" t="str">
        <f>IF($C309="","",SUM($E$5:$E309))</f>
        <v/>
      </c>
      <c r="J309" s="29"/>
    </row>
    <row r="310" spans="1:10" x14ac:dyDescent="0.3">
      <c r="A310" s="26" t="str">
        <f>IF($C310="","",306)</f>
        <v/>
      </c>
      <c r="B310" s="27" t="str">
        <f>IF($C310="","",EDATE(Loan!$B$8,306-1))</f>
        <v/>
      </c>
      <c r="C310" s="28" t="str">
        <f t="shared" si="14"/>
        <v/>
      </c>
      <c r="D310" s="28" t="str">
        <f t="shared" si="12"/>
        <v/>
      </c>
      <c r="E310" s="28" t="str">
        <f>IF($C310="","",ROUND($C310*Loan!$B$6/12,2))</f>
        <v/>
      </c>
      <c r="F310" s="28" t="str">
        <f>IF($C310="","",IF(306&gt;=Loan!$B$7,$C310,MIN($C310,MAX(0,Loan!$B$14-$E310))))</f>
        <v/>
      </c>
      <c r="G310" s="28" t="str">
        <f>IF($C310="","",MAX(0,MIN($C310-$F310,N(Loan!$B$9)+IF(306=N(Loan!$B$11),N(Loan!$B$10),0))))</f>
        <v/>
      </c>
      <c r="H310" s="28" t="str">
        <f t="shared" si="13"/>
        <v/>
      </c>
      <c r="I310" s="28" t="str">
        <f>IF($C310="","",SUM($E$5:$E310))</f>
        <v/>
      </c>
      <c r="J310" s="29"/>
    </row>
    <row r="311" spans="1:10" x14ac:dyDescent="0.3">
      <c r="A311" s="26" t="str">
        <f>IF($C311="","",307)</f>
        <v/>
      </c>
      <c r="B311" s="27" t="str">
        <f>IF($C311="","",EDATE(Loan!$B$8,307-1))</f>
        <v/>
      </c>
      <c r="C311" s="28" t="str">
        <f t="shared" si="14"/>
        <v/>
      </c>
      <c r="D311" s="28" t="str">
        <f t="shared" si="12"/>
        <v/>
      </c>
      <c r="E311" s="28" t="str">
        <f>IF($C311="","",ROUND($C311*Loan!$B$6/12,2))</f>
        <v/>
      </c>
      <c r="F311" s="28" t="str">
        <f>IF($C311="","",IF(307&gt;=Loan!$B$7,$C311,MIN($C311,MAX(0,Loan!$B$14-$E311))))</f>
        <v/>
      </c>
      <c r="G311" s="28" t="str">
        <f>IF($C311="","",MAX(0,MIN($C311-$F311,N(Loan!$B$9)+IF(307=N(Loan!$B$11),N(Loan!$B$10),0))))</f>
        <v/>
      </c>
      <c r="H311" s="28" t="str">
        <f t="shared" si="13"/>
        <v/>
      </c>
      <c r="I311" s="28" t="str">
        <f>IF($C311="","",SUM($E$5:$E311))</f>
        <v/>
      </c>
      <c r="J311" s="29"/>
    </row>
    <row r="312" spans="1:10" x14ac:dyDescent="0.3">
      <c r="A312" s="26" t="str">
        <f>IF($C312="","",308)</f>
        <v/>
      </c>
      <c r="B312" s="27" t="str">
        <f>IF($C312="","",EDATE(Loan!$B$8,308-1))</f>
        <v/>
      </c>
      <c r="C312" s="28" t="str">
        <f t="shared" si="14"/>
        <v/>
      </c>
      <c r="D312" s="28" t="str">
        <f t="shared" si="12"/>
        <v/>
      </c>
      <c r="E312" s="28" t="str">
        <f>IF($C312="","",ROUND($C312*Loan!$B$6/12,2))</f>
        <v/>
      </c>
      <c r="F312" s="28" t="str">
        <f>IF($C312="","",IF(308&gt;=Loan!$B$7,$C312,MIN($C312,MAX(0,Loan!$B$14-$E312))))</f>
        <v/>
      </c>
      <c r="G312" s="28" t="str">
        <f>IF($C312="","",MAX(0,MIN($C312-$F312,N(Loan!$B$9)+IF(308=N(Loan!$B$11),N(Loan!$B$10),0))))</f>
        <v/>
      </c>
      <c r="H312" s="28" t="str">
        <f t="shared" si="13"/>
        <v/>
      </c>
      <c r="I312" s="28" t="str">
        <f>IF($C312="","",SUM($E$5:$E312))</f>
        <v/>
      </c>
      <c r="J312" s="29"/>
    </row>
    <row r="313" spans="1:10" x14ac:dyDescent="0.3">
      <c r="A313" s="26" t="str">
        <f>IF($C313="","",309)</f>
        <v/>
      </c>
      <c r="B313" s="27" t="str">
        <f>IF($C313="","",EDATE(Loan!$B$8,309-1))</f>
        <v/>
      </c>
      <c r="C313" s="28" t="str">
        <f t="shared" si="14"/>
        <v/>
      </c>
      <c r="D313" s="28" t="str">
        <f t="shared" si="12"/>
        <v/>
      </c>
      <c r="E313" s="28" t="str">
        <f>IF($C313="","",ROUND($C313*Loan!$B$6/12,2))</f>
        <v/>
      </c>
      <c r="F313" s="28" t="str">
        <f>IF($C313="","",IF(309&gt;=Loan!$B$7,$C313,MIN($C313,MAX(0,Loan!$B$14-$E313))))</f>
        <v/>
      </c>
      <c r="G313" s="28" t="str">
        <f>IF($C313="","",MAX(0,MIN($C313-$F313,N(Loan!$B$9)+IF(309=N(Loan!$B$11),N(Loan!$B$10),0))))</f>
        <v/>
      </c>
      <c r="H313" s="28" t="str">
        <f t="shared" si="13"/>
        <v/>
      </c>
      <c r="I313" s="28" t="str">
        <f>IF($C313="","",SUM($E$5:$E313))</f>
        <v/>
      </c>
      <c r="J313" s="29"/>
    </row>
    <row r="314" spans="1:10" x14ac:dyDescent="0.3">
      <c r="A314" s="26" t="str">
        <f>IF($C314="","",310)</f>
        <v/>
      </c>
      <c r="B314" s="27" t="str">
        <f>IF($C314="","",EDATE(Loan!$B$8,310-1))</f>
        <v/>
      </c>
      <c r="C314" s="28" t="str">
        <f t="shared" si="14"/>
        <v/>
      </c>
      <c r="D314" s="28" t="str">
        <f t="shared" si="12"/>
        <v/>
      </c>
      <c r="E314" s="28" t="str">
        <f>IF($C314="","",ROUND($C314*Loan!$B$6/12,2))</f>
        <v/>
      </c>
      <c r="F314" s="28" t="str">
        <f>IF($C314="","",IF(310&gt;=Loan!$B$7,$C314,MIN($C314,MAX(0,Loan!$B$14-$E314))))</f>
        <v/>
      </c>
      <c r="G314" s="28" t="str">
        <f>IF($C314="","",MAX(0,MIN($C314-$F314,N(Loan!$B$9)+IF(310=N(Loan!$B$11),N(Loan!$B$10),0))))</f>
        <v/>
      </c>
      <c r="H314" s="28" t="str">
        <f t="shared" si="13"/>
        <v/>
      </c>
      <c r="I314" s="28" t="str">
        <f>IF($C314="","",SUM($E$5:$E314))</f>
        <v/>
      </c>
      <c r="J314" s="29"/>
    </row>
    <row r="315" spans="1:10" x14ac:dyDescent="0.3">
      <c r="A315" s="26" t="str">
        <f>IF($C315="","",311)</f>
        <v/>
      </c>
      <c r="B315" s="27" t="str">
        <f>IF($C315="","",EDATE(Loan!$B$8,311-1))</f>
        <v/>
      </c>
      <c r="C315" s="28" t="str">
        <f t="shared" si="14"/>
        <v/>
      </c>
      <c r="D315" s="28" t="str">
        <f t="shared" si="12"/>
        <v/>
      </c>
      <c r="E315" s="28" t="str">
        <f>IF($C315="","",ROUND($C315*Loan!$B$6/12,2))</f>
        <v/>
      </c>
      <c r="F315" s="28" t="str">
        <f>IF($C315="","",IF(311&gt;=Loan!$B$7,$C315,MIN($C315,MAX(0,Loan!$B$14-$E315))))</f>
        <v/>
      </c>
      <c r="G315" s="28" t="str">
        <f>IF($C315="","",MAX(0,MIN($C315-$F315,N(Loan!$B$9)+IF(311=N(Loan!$B$11),N(Loan!$B$10),0))))</f>
        <v/>
      </c>
      <c r="H315" s="28" t="str">
        <f t="shared" si="13"/>
        <v/>
      </c>
      <c r="I315" s="28" t="str">
        <f>IF($C315="","",SUM($E$5:$E315))</f>
        <v/>
      </c>
      <c r="J315" s="29"/>
    </row>
    <row r="316" spans="1:10" x14ac:dyDescent="0.3">
      <c r="A316" s="26" t="str">
        <f>IF($C316="","",312)</f>
        <v/>
      </c>
      <c r="B316" s="27" t="str">
        <f>IF($C316="","",EDATE(Loan!$B$8,312-1))</f>
        <v/>
      </c>
      <c r="C316" s="28" t="str">
        <f t="shared" si="14"/>
        <v/>
      </c>
      <c r="D316" s="28" t="str">
        <f t="shared" si="12"/>
        <v/>
      </c>
      <c r="E316" s="28" t="str">
        <f>IF($C316="","",ROUND($C316*Loan!$B$6/12,2))</f>
        <v/>
      </c>
      <c r="F316" s="28" t="str">
        <f>IF($C316="","",IF(312&gt;=Loan!$B$7,$C316,MIN($C316,MAX(0,Loan!$B$14-$E316))))</f>
        <v/>
      </c>
      <c r="G316" s="28" t="str">
        <f>IF($C316="","",MAX(0,MIN($C316-$F316,N(Loan!$B$9)+IF(312=N(Loan!$B$11),N(Loan!$B$10),0))))</f>
        <v/>
      </c>
      <c r="H316" s="28" t="str">
        <f t="shared" si="13"/>
        <v/>
      </c>
      <c r="I316" s="28" t="str">
        <f>IF($C316="","",SUM($E$5:$E316))</f>
        <v/>
      </c>
      <c r="J316" s="29"/>
    </row>
    <row r="317" spans="1:10" x14ac:dyDescent="0.3">
      <c r="A317" s="26" t="str">
        <f>IF($C317="","",313)</f>
        <v/>
      </c>
      <c r="B317" s="27" t="str">
        <f>IF($C317="","",EDATE(Loan!$B$8,313-1))</f>
        <v/>
      </c>
      <c r="C317" s="28" t="str">
        <f t="shared" si="14"/>
        <v/>
      </c>
      <c r="D317" s="28" t="str">
        <f t="shared" si="12"/>
        <v/>
      </c>
      <c r="E317" s="28" t="str">
        <f>IF($C317="","",ROUND($C317*Loan!$B$6/12,2))</f>
        <v/>
      </c>
      <c r="F317" s="28" t="str">
        <f>IF($C317="","",IF(313&gt;=Loan!$B$7,$C317,MIN($C317,MAX(0,Loan!$B$14-$E317))))</f>
        <v/>
      </c>
      <c r="G317" s="28" t="str">
        <f>IF($C317="","",MAX(0,MIN($C317-$F317,N(Loan!$B$9)+IF(313=N(Loan!$B$11),N(Loan!$B$10),0))))</f>
        <v/>
      </c>
      <c r="H317" s="28" t="str">
        <f t="shared" si="13"/>
        <v/>
      </c>
      <c r="I317" s="28" t="str">
        <f>IF($C317="","",SUM($E$5:$E317))</f>
        <v/>
      </c>
      <c r="J317" s="29"/>
    </row>
    <row r="318" spans="1:10" x14ac:dyDescent="0.3">
      <c r="A318" s="26" t="str">
        <f>IF($C318="","",314)</f>
        <v/>
      </c>
      <c r="B318" s="27" t="str">
        <f>IF($C318="","",EDATE(Loan!$B$8,314-1))</f>
        <v/>
      </c>
      <c r="C318" s="28" t="str">
        <f t="shared" si="14"/>
        <v/>
      </c>
      <c r="D318" s="28" t="str">
        <f t="shared" si="12"/>
        <v/>
      </c>
      <c r="E318" s="28" t="str">
        <f>IF($C318="","",ROUND($C318*Loan!$B$6/12,2))</f>
        <v/>
      </c>
      <c r="F318" s="28" t="str">
        <f>IF($C318="","",IF(314&gt;=Loan!$B$7,$C318,MIN($C318,MAX(0,Loan!$B$14-$E318))))</f>
        <v/>
      </c>
      <c r="G318" s="28" t="str">
        <f>IF($C318="","",MAX(0,MIN($C318-$F318,N(Loan!$B$9)+IF(314=N(Loan!$B$11),N(Loan!$B$10),0))))</f>
        <v/>
      </c>
      <c r="H318" s="28" t="str">
        <f t="shared" si="13"/>
        <v/>
      </c>
      <c r="I318" s="28" t="str">
        <f>IF($C318="","",SUM($E$5:$E318))</f>
        <v/>
      </c>
      <c r="J318" s="29"/>
    </row>
    <row r="319" spans="1:10" x14ac:dyDescent="0.3">
      <c r="A319" s="26" t="str">
        <f>IF($C319="","",315)</f>
        <v/>
      </c>
      <c r="B319" s="27" t="str">
        <f>IF($C319="","",EDATE(Loan!$B$8,315-1))</f>
        <v/>
      </c>
      <c r="C319" s="28" t="str">
        <f t="shared" si="14"/>
        <v/>
      </c>
      <c r="D319" s="28" t="str">
        <f t="shared" si="12"/>
        <v/>
      </c>
      <c r="E319" s="28" t="str">
        <f>IF($C319="","",ROUND($C319*Loan!$B$6/12,2))</f>
        <v/>
      </c>
      <c r="F319" s="28" t="str">
        <f>IF($C319="","",IF(315&gt;=Loan!$B$7,$C319,MIN($C319,MAX(0,Loan!$B$14-$E319))))</f>
        <v/>
      </c>
      <c r="G319" s="28" t="str">
        <f>IF($C319="","",MAX(0,MIN($C319-$F319,N(Loan!$B$9)+IF(315=N(Loan!$B$11),N(Loan!$B$10),0))))</f>
        <v/>
      </c>
      <c r="H319" s="28" t="str">
        <f t="shared" si="13"/>
        <v/>
      </c>
      <c r="I319" s="28" t="str">
        <f>IF($C319="","",SUM($E$5:$E319))</f>
        <v/>
      </c>
      <c r="J319" s="29"/>
    </row>
    <row r="320" spans="1:10" x14ac:dyDescent="0.3">
      <c r="A320" s="26" t="str">
        <f>IF($C320="","",316)</f>
        <v/>
      </c>
      <c r="B320" s="27" t="str">
        <f>IF($C320="","",EDATE(Loan!$B$8,316-1))</f>
        <v/>
      </c>
      <c r="C320" s="28" t="str">
        <f t="shared" si="14"/>
        <v/>
      </c>
      <c r="D320" s="28" t="str">
        <f t="shared" si="12"/>
        <v/>
      </c>
      <c r="E320" s="28" t="str">
        <f>IF($C320="","",ROUND($C320*Loan!$B$6/12,2))</f>
        <v/>
      </c>
      <c r="F320" s="28" t="str">
        <f>IF($C320="","",IF(316&gt;=Loan!$B$7,$C320,MIN($C320,MAX(0,Loan!$B$14-$E320))))</f>
        <v/>
      </c>
      <c r="G320" s="28" t="str">
        <f>IF($C320="","",MAX(0,MIN($C320-$F320,N(Loan!$B$9)+IF(316=N(Loan!$B$11),N(Loan!$B$10),0))))</f>
        <v/>
      </c>
      <c r="H320" s="28" t="str">
        <f t="shared" si="13"/>
        <v/>
      </c>
      <c r="I320" s="28" t="str">
        <f>IF($C320="","",SUM($E$5:$E320))</f>
        <v/>
      </c>
      <c r="J320" s="29"/>
    </row>
    <row r="321" spans="1:10" x14ac:dyDescent="0.3">
      <c r="A321" s="26" t="str">
        <f>IF($C321="","",317)</f>
        <v/>
      </c>
      <c r="B321" s="27" t="str">
        <f>IF($C321="","",EDATE(Loan!$B$8,317-1))</f>
        <v/>
      </c>
      <c r="C321" s="28" t="str">
        <f t="shared" si="14"/>
        <v/>
      </c>
      <c r="D321" s="28" t="str">
        <f t="shared" si="12"/>
        <v/>
      </c>
      <c r="E321" s="28" t="str">
        <f>IF($C321="","",ROUND($C321*Loan!$B$6/12,2))</f>
        <v/>
      </c>
      <c r="F321" s="28" t="str">
        <f>IF($C321="","",IF(317&gt;=Loan!$B$7,$C321,MIN($C321,MAX(0,Loan!$B$14-$E321))))</f>
        <v/>
      </c>
      <c r="G321" s="28" t="str">
        <f>IF($C321="","",MAX(0,MIN($C321-$F321,N(Loan!$B$9)+IF(317=N(Loan!$B$11),N(Loan!$B$10),0))))</f>
        <v/>
      </c>
      <c r="H321" s="28" t="str">
        <f t="shared" si="13"/>
        <v/>
      </c>
      <c r="I321" s="28" t="str">
        <f>IF($C321="","",SUM($E$5:$E321))</f>
        <v/>
      </c>
      <c r="J321" s="29"/>
    </row>
    <row r="322" spans="1:10" x14ac:dyDescent="0.3">
      <c r="A322" s="26" t="str">
        <f>IF($C322="","",318)</f>
        <v/>
      </c>
      <c r="B322" s="27" t="str">
        <f>IF($C322="","",EDATE(Loan!$B$8,318-1))</f>
        <v/>
      </c>
      <c r="C322" s="28" t="str">
        <f t="shared" si="14"/>
        <v/>
      </c>
      <c r="D322" s="28" t="str">
        <f t="shared" si="12"/>
        <v/>
      </c>
      <c r="E322" s="28" t="str">
        <f>IF($C322="","",ROUND($C322*Loan!$B$6/12,2))</f>
        <v/>
      </c>
      <c r="F322" s="28" t="str">
        <f>IF($C322="","",IF(318&gt;=Loan!$B$7,$C322,MIN($C322,MAX(0,Loan!$B$14-$E322))))</f>
        <v/>
      </c>
      <c r="G322" s="28" t="str">
        <f>IF($C322="","",MAX(0,MIN($C322-$F322,N(Loan!$B$9)+IF(318=N(Loan!$B$11),N(Loan!$B$10),0))))</f>
        <v/>
      </c>
      <c r="H322" s="28" t="str">
        <f t="shared" si="13"/>
        <v/>
      </c>
      <c r="I322" s="28" t="str">
        <f>IF($C322="","",SUM($E$5:$E322))</f>
        <v/>
      </c>
      <c r="J322" s="29"/>
    </row>
    <row r="323" spans="1:10" x14ac:dyDescent="0.3">
      <c r="A323" s="26" t="str">
        <f>IF($C323="","",319)</f>
        <v/>
      </c>
      <c r="B323" s="27" t="str">
        <f>IF($C323="","",EDATE(Loan!$B$8,319-1))</f>
        <v/>
      </c>
      <c r="C323" s="28" t="str">
        <f t="shared" si="14"/>
        <v/>
      </c>
      <c r="D323" s="28" t="str">
        <f t="shared" si="12"/>
        <v/>
      </c>
      <c r="E323" s="28" t="str">
        <f>IF($C323="","",ROUND($C323*Loan!$B$6/12,2))</f>
        <v/>
      </c>
      <c r="F323" s="28" t="str">
        <f>IF($C323="","",IF(319&gt;=Loan!$B$7,$C323,MIN($C323,MAX(0,Loan!$B$14-$E323))))</f>
        <v/>
      </c>
      <c r="G323" s="28" t="str">
        <f>IF($C323="","",MAX(0,MIN($C323-$F323,N(Loan!$B$9)+IF(319=N(Loan!$B$11),N(Loan!$B$10),0))))</f>
        <v/>
      </c>
      <c r="H323" s="28" t="str">
        <f t="shared" si="13"/>
        <v/>
      </c>
      <c r="I323" s="28" t="str">
        <f>IF($C323="","",SUM($E$5:$E323))</f>
        <v/>
      </c>
      <c r="J323" s="29"/>
    </row>
    <row r="324" spans="1:10" x14ac:dyDescent="0.3">
      <c r="A324" s="26" t="str">
        <f>IF($C324="","",320)</f>
        <v/>
      </c>
      <c r="B324" s="27" t="str">
        <f>IF($C324="","",EDATE(Loan!$B$8,320-1))</f>
        <v/>
      </c>
      <c r="C324" s="28" t="str">
        <f t="shared" si="14"/>
        <v/>
      </c>
      <c r="D324" s="28" t="str">
        <f t="shared" si="12"/>
        <v/>
      </c>
      <c r="E324" s="28" t="str">
        <f>IF($C324="","",ROUND($C324*Loan!$B$6/12,2))</f>
        <v/>
      </c>
      <c r="F324" s="28" t="str">
        <f>IF($C324="","",IF(320&gt;=Loan!$B$7,$C324,MIN($C324,MAX(0,Loan!$B$14-$E324))))</f>
        <v/>
      </c>
      <c r="G324" s="28" t="str">
        <f>IF($C324="","",MAX(0,MIN($C324-$F324,N(Loan!$B$9)+IF(320=N(Loan!$B$11),N(Loan!$B$10),0))))</f>
        <v/>
      </c>
      <c r="H324" s="28" t="str">
        <f t="shared" si="13"/>
        <v/>
      </c>
      <c r="I324" s="28" t="str">
        <f>IF($C324="","",SUM($E$5:$E324))</f>
        <v/>
      </c>
      <c r="J324" s="29"/>
    </row>
    <row r="325" spans="1:10" x14ac:dyDescent="0.3">
      <c r="A325" s="26" t="str">
        <f>IF($C325="","",321)</f>
        <v/>
      </c>
      <c r="B325" s="27" t="str">
        <f>IF($C325="","",EDATE(Loan!$B$8,321-1))</f>
        <v/>
      </c>
      <c r="C325" s="28" t="str">
        <f t="shared" si="14"/>
        <v/>
      </c>
      <c r="D325" s="28" t="str">
        <f t="shared" ref="D325:D364" si="15">IF($C325="","",$E325+$F325)</f>
        <v/>
      </c>
      <c r="E325" s="28" t="str">
        <f>IF($C325="","",ROUND($C325*Loan!$B$6/12,2))</f>
        <v/>
      </c>
      <c r="F325" s="28" t="str">
        <f>IF($C325="","",IF(321&gt;=Loan!$B$7,$C325,MIN($C325,MAX(0,Loan!$B$14-$E325))))</f>
        <v/>
      </c>
      <c r="G325" s="28" t="str">
        <f>IF($C325="","",MAX(0,MIN($C325-$F325,N(Loan!$B$9)+IF(321=N(Loan!$B$11),N(Loan!$B$10),0))))</f>
        <v/>
      </c>
      <c r="H325" s="28" t="str">
        <f t="shared" ref="H325:H364" si="16">IF($C325="","",ROUND($C325-$F325-$G325,2))</f>
        <v/>
      </c>
      <c r="I325" s="28" t="str">
        <f>IF($C325="","",SUM($E$5:$E325))</f>
        <v/>
      </c>
      <c r="J325" s="29"/>
    </row>
    <row r="326" spans="1:10" x14ac:dyDescent="0.3">
      <c r="A326" s="26" t="str">
        <f>IF($C326="","",322)</f>
        <v/>
      </c>
      <c r="B326" s="27" t="str">
        <f>IF($C326="","",EDATE(Loan!$B$8,322-1))</f>
        <v/>
      </c>
      <c r="C326" s="28" t="str">
        <f t="shared" ref="C326:C364" si="17">IF(H325="","",IF(H325&lt;0.005,"",H325))</f>
        <v/>
      </c>
      <c r="D326" s="28" t="str">
        <f t="shared" si="15"/>
        <v/>
      </c>
      <c r="E326" s="28" t="str">
        <f>IF($C326="","",ROUND($C326*Loan!$B$6/12,2))</f>
        <v/>
      </c>
      <c r="F326" s="28" t="str">
        <f>IF($C326="","",IF(322&gt;=Loan!$B$7,$C326,MIN($C326,MAX(0,Loan!$B$14-$E326))))</f>
        <v/>
      </c>
      <c r="G326" s="28" t="str">
        <f>IF($C326="","",MAX(0,MIN($C326-$F326,N(Loan!$B$9)+IF(322=N(Loan!$B$11),N(Loan!$B$10),0))))</f>
        <v/>
      </c>
      <c r="H326" s="28" t="str">
        <f t="shared" si="16"/>
        <v/>
      </c>
      <c r="I326" s="28" t="str">
        <f>IF($C326="","",SUM($E$5:$E326))</f>
        <v/>
      </c>
      <c r="J326" s="29"/>
    </row>
    <row r="327" spans="1:10" x14ac:dyDescent="0.3">
      <c r="A327" s="26" t="str">
        <f>IF($C327="","",323)</f>
        <v/>
      </c>
      <c r="B327" s="27" t="str">
        <f>IF($C327="","",EDATE(Loan!$B$8,323-1))</f>
        <v/>
      </c>
      <c r="C327" s="28" t="str">
        <f t="shared" si="17"/>
        <v/>
      </c>
      <c r="D327" s="28" t="str">
        <f t="shared" si="15"/>
        <v/>
      </c>
      <c r="E327" s="28" t="str">
        <f>IF($C327="","",ROUND($C327*Loan!$B$6/12,2))</f>
        <v/>
      </c>
      <c r="F327" s="28" t="str">
        <f>IF($C327="","",IF(323&gt;=Loan!$B$7,$C327,MIN($C327,MAX(0,Loan!$B$14-$E327))))</f>
        <v/>
      </c>
      <c r="G327" s="28" t="str">
        <f>IF($C327="","",MAX(0,MIN($C327-$F327,N(Loan!$B$9)+IF(323=N(Loan!$B$11),N(Loan!$B$10),0))))</f>
        <v/>
      </c>
      <c r="H327" s="28" t="str">
        <f t="shared" si="16"/>
        <v/>
      </c>
      <c r="I327" s="28" t="str">
        <f>IF($C327="","",SUM($E$5:$E327))</f>
        <v/>
      </c>
      <c r="J327" s="29"/>
    </row>
    <row r="328" spans="1:10" x14ac:dyDescent="0.3">
      <c r="A328" s="26" t="str">
        <f>IF($C328="","",324)</f>
        <v/>
      </c>
      <c r="B328" s="27" t="str">
        <f>IF($C328="","",EDATE(Loan!$B$8,324-1))</f>
        <v/>
      </c>
      <c r="C328" s="28" t="str">
        <f t="shared" si="17"/>
        <v/>
      </c>
      <c r="D328" s="28" t="str">
        <f t="shared" si="15"/>
        <v/>
      </c>
      <c r="E328" s="28" t="str">
        <f>IF($C328="","",ROUND($C328*Loan!$B$6/12,2))</f>
        <v/>
      </c>
      <c r="F328" s="28" t="str">
        <f>IF($C328="","",IF(324&gt;=Loan!$B$7,$C328,MIN($C328,MAX(0,Loan!$B$14-$E328))))</f>
        <v/>
      </c>
      <c r="G328" s="28" t="str">
        <f>IF($C328="","",MAX(0,MIN($C328-$F328,N(Loan!$B$9)+IF(324=N(Loan!$B$11),N(Loan!$B$10),0))))</f>
        <v/>
      </c>
      <c r="H328" s="28" t="str">
        <f t="shared" si="16"/>
        <v/>
      </c>
      <c r="I328" s="28" t="str">
        <f>IF($C328="","",SUM($E$5:$E328))</f>
        <v/>
      </c>
      <c r="J328" s="29"/>
    </row>
    <row r="329" spans="1:10" x14ac:dyDescent="0.3">
      <c r="A329" s="26" t="str">
        <f>IF($C329="","",325)</f>
        <v/>
      </c>
      <c r="B329" s="27" t="str">
        <f>IF($C329="","",EDATE(Loan!$B$8,325-1))</f>
        <v/>
      </c>
      <c r="C329" s="28" t="str">
        <f t="shared" si="17"/>
        <v/>
      </c>
      <c r="D329" s="28" t="str">
        <f t="shared" si="15"/>
        <v/>
      </c>
      <c r="E329" s="28" t="str">
        <f>IF($C329="","",ROUND($C329*Loan!$B$6/12,2))</f>
        <v/>
      </c>
      <c r="F329" s="28" t="str">
        <f>IF($C329="","",IF(325&gt;=Loan!$B$7,$C329,MIN($C329,MAX(0,Loan!$B$14-$E329))))</f>
        <v/>
      </c>
      <c r="G329" s="28" t="str">
        <f>IF($C329="","",MAX(0,MIN($C329-$F329,N(Loan!$B$9)+IF(325=N(Loan!$B$11),N(Loan!$B$10),0))))</f>
        <v/>
      </c>
      <c r="H329" s="28" t="str">
        <f t="shared" si="16"/>
        <v/>
      </c>
      <c r="I329" s="28" t="str">
        <f>IF($C329="","",SUM($E$5:$E329))</f>
        <v/>
      </c>
      <c r="J329" s="29"/>
    </row>
    <row r="330" spans="1:10" x14ac:dyDescent="0.3">
      <c r="A330" s="26" t="str">
        <f>IF($C330="","",326)</f>
        <v/>
      </c>
      <c r="B330" s="27" t="str">
        <f>IF($C330="","",EDATE(Loan!$B$8,326-1))</f>
        <v/>
      </c>
      <c r="C330" s="28" t="str">
        <f t="shared" si="17"/>
        <v/>
      </c>
      <c r="D330" s="28" t="str">
        <f t="shared" si="15"/>
        <v/>
      </c>
      <c r="E330" s="28" t="str">
        <f>IF($C330="","",ROUND($C330*Loan!$B$6/12,2))</f>
        <v/>
      </c>
      <c r="F330" s="28" t="str">
        <f>IF($C330="","",IF(326&gt;=Loan!$B$7,$C330,MIN($C330,MAX(0,Loan!$B$14-$E330))))</f>
        <v/>
      </c>
      <c r="G330" s="28" t="str">
        <f>IF($C330="","",MAX(0,MIN($C330-$F330,N(Loan!$B$9)+IF(326=N(Loan!$B$11),N(Loan!$B$10),0))))</f>
        <v/>
      </c>
      <c r="H330" s="28" t="str">
        <f t="shared" si="16"/>
        <v/>
      </c>
      <c r="I330" s="28" t="str">
        <f>IF($C330="","",SUM($E$5:$E330))</f>
        <v/>
      </c>
      <c r="J330" s="29"/>
    </row>
    <row r="331" spans="1:10" x14ac:dyDescent="0.3">
      <c r="A331" s="26" t="str">
        <f>IF($C331="","",327)</f>
        <v/>
      </c>
      <c r="B331" s="27" t="str">
        <f>IF($C331="","",EDATE(Loan!$B$8,327-1))</f>
        <v/>
      </c>
      <c r="C331" s="28" t="str">
        <f t="shared" si="17"/>
        <v/>
      </c>
      <c r="D331" s="28" t="str">
        <f t="shared" si="15"/>
        <v/>
      </c>
      <c r="E331" s="28" t="str">
        <f>IF($C331="","",ROUND($C331*Loan!$B$6/12,2))</f>
        <v/>
      </c>
      <c r="F331" s="28" t="str">
        <f>IF($C331="","",IF(327&gt;=Loan!$B$7,$C331,MIN($C331,MAX(0,Loan!$B$14-$E331))))</f>
        <v/>
      </c>
      <c r="G331" s="28" t="str">
        <f>IF($C331="","",MAX(0,MIN($C331-$F331,N(Loan!$B$9)+IF(327=N(Loan!$B$11),N(Loan!$B$10),0))))</f>
        <v/>
      </c>
      <c r="H331" s="28" t="str">
        <f t="shared" si="16"/>
        <v/>
      </c>
      <c r="I331" s="28" t="str">
        <f>IF($C331="","",SUM($E$5:$E331))</f>
        <v/>
      </c>
      <c r="J331" s="29"/>
    </row>
    <row r="332" spans="1:10" x14ac:dyDescent="0.3">
      <c r="A332" s="26" t="str">
        <f>IF($C332="","",328)</f>
        <v/>
      </c>
      <c r="B332" s="27" t="str">
        <f>IF($C332="","",EDATE(Loan!$B$8,328-1))</f>
        <v/>
      </c>
      <c r="C332" s="28" t="str">
        <f t="shared" si="17"/>
        <v/>
      </c>
      <c r="D332" s="28" t="str">
        <f t="shared" si="15"/>
        <v/>
      </c>
      <c r="E332" s="28" t="str">
        <f>IF($C332="","",ROUND($C332*Loan!$B$6/12,2))</f>
        <v/>
      </c>
      <c r="F332" s="28" t="str">
        <f>IF($C332="","",IF(328&gt;=Loan!$B$7,$C332,MIN($C332,MAX(0,Loan!$B$14-$E332))))</f>
        <v/>
      </c>
      <c r="G332" s="28" t="str">
        <f>IF($C332="","",MAX(0,MIN($C332-$F332,N(Loan!$B$9)+IF(328=N(Loan!$B$11),N(Loan!$B$10),0))))</f>
        <v/>
      </c>
      <c r="H332" s="28" t="str">
        <f t="shared" si="16"/>
        <v/>
      </c>
      <c r="I332" s="28" t="str">
        <f>IF($C332="","",SUM($E$5:$E332))</f>
        <v/>
      </c>
      <c r="J332" s="29"/>
    </row>
    <row r="333" spans="1:10" x14ac:dyDescent="0.3">
      <c r="A333" s="26" t="str">
        <f>IF($C333="","",329)</f>
        <v/>
      </c>
      <c r="B333" s="27" t="str">
        <f>IF($C333="","",EDATE(Loan!$B$8,329-1))</f>
        <v/>
      </c>
      <c r="C333" s="28" t="str">
        <f t="shared" si="17"/>
        <v/>
      </c>
      <c r="D333" s="28" t="str">
        <f t="shared" si="15"/>
        <v/>
      </c>
      <c r="E333" s="28" t="str">
        <f>IF($C333="","",ROUND($C333*Loan!$B$6/12,2))</f>
        <v/>
      </c>
      <c r="F333" s="28" t="str">
        <f>IF($C333="","",IF(329&gt;=Loan!$B$7,$C333,MIN($C333,MAX(0,Loan!$B$14-$E333))))</f>
        <v/>
      </c>
      <c r="G333" s="28" t="str">
        <f>IF($C333="","",MAX(0,MIN($C333-$F333,N(Loan!$B$9)+IF(329=N(Loan!$B$11),N(Loan!$B$10),0))))</f>
        <v/>
      </c>
      <c r="H333" s="28" t="str">
        <f t="shared" si="16"/>
        <v/>
      </c>
      <c r="I333" s="28" t="str">
        <f>IF($C333="","",SUM($E$5:$E333))</f>
        <v/>
      </c>
      <c r="J333" s="29"/>
    </row>
    <row r="334" spans="1:10" x14ac:dyDescent="0.3">
      <c r="A334" s="26" t="str">
        <f>IF($C334="","",330)</f>
        <v/>
      </c>
      <c r="B334" s="27" t="str">
        <f>IF($C334="","",EDATE(Loan!$B$8,330-1))</f>
        <v/>
      </c>
      <c r="C334" s="28" t="str">
        <f t="shared" si="17"/>
        <v/>
      </c>
      <c r="D334" s="28" t="str">
        <f t="shared" si="15"/>
        <v/>
      </c>
      <c r="E334" s="28" t="str">
        <f>IF($C334="","",ROUND($C334*Loan!$B$6/12,2))</f>
        <v/>
      </c>
      <c r="F334" s="28" t="str">
        <f>IF($C334="","",IF(330&gt;=Loan!$B$7,$C334,MIN($C334,MAX(0,Loan!$B$14-$E334))))</f>
        <v/>
      </c>
      <c r="G334" s="28" t="str">
        <f>IF($C334="","",MAX(0,MIN($C334-$F334,N(Loan!$B$9)+IF(330=N(Loan!$B$11),N(Loan!$B$10),0))))</f>
        <v/>
      </c>
      <c r="H334" s="28" t="str">
        <f t="shared" si="16"/>
        <v/>
      </c>
      <c r="I334" s="28" t="str">
        <f>IF($C334="","",SUM($E$5:$E334))</f>
        <v/>
      </c>
      <c r="J334" s="29"/>
    </row>
    <row r="335" spans="1:10" x14ac:dyDescent="0.3">
      <c r="A335" s="26" t="str">
        <f>IF($C335="","",331)</f>
        <v/>
      </c>
      <c r="B335" s="27" t="str">
        <f>IF($C335="","",EDATE(Loan!$B$8,331-1))</f>
        <v/>
      </c>
      <c r="C335" s="28" t="str">
        <f t="shared" si="17"/>
        <v/>
      </c>
      <c r="D335" s="28" t="str">
        <f t="shared" si="15"/>
        <v/>
      </c>
      <c r="E335" s="28" t="str">
        <f>IF($C335="","",ROUND($C335*Loan!$B$6/12,2))</f>
        <v/>
      </c>
      <c r="F335" s="28" t="str">
        <f>IF($C335="","",IF(331&gt;=Loan!$B$7,$C335,MIN($C335,MAX(0,Loan!$B$14-$E335))))</f>
        <v/>
      </c>
      <c r="G335" s="28" t="str">
        <f>IF($C335="","",MAX(0,MIN($C335-$F335,N(Loan!$B$9)+IF(331=N(Loan!$B$11),N(Loan!$B$10),0))))</f>
        <v/>
      </c>
      <c r="H335" s="28" t="str">
        <f t="shared" si="16"/>
        <v/>
      </c>
      <c r="I335" s="28" t="str">
        <f>IF($C335="","",SUM($E$5:$E335))</f>
        <v/>
      </c>
      <c r="J335" s="29"/>
    </row>
    <row r="336" spans="1:10" x14ac:dyDescent="0.3">
      <c r="A336" s="26" t="str">
        <f>IF($C336="","",332)</f>
        <v/>
      </c>
      <c r="B336" s="27" t="str">
        <f>IF($C336="","",EDATE(Loan!$B$8,332-1))</f>
        <v/>
      </c>
      <c r="C336" s="28" t="str">
        <f t="shared" si="17"/>
        <v/>
      </c>
      <c r="D336" s="28" t="str">
        <f t="shared" si="15"/>
        <v/>
      </c>
      <c r="E336" s="28" t="str">
        <f>IF($C336="","",ROUND($C336*Loan!$B$6/12,2))</f>
        <v/>
      </c>
      <c r="F336" s="28" t="str">
        <f>IF($C336="","",IF(332&gt;=Loan!$B$7,$C336,MIN($C336,MAX(0,Loan!$B$14-$E336))))</f>
        <v/>
      </c>
      <c r="G336" s="28" t="str">
        <f>IF($C336="","",MAX(0,MIN($C336-$F336,N(Loan!$B$9)+IF(332=N(Loan!$B$11),N(Loan!$B$10),0))))</f>
        <v/>
      </c>
      <c r="H336" s="28" t="str">
        <f t="shared" si="16"/>
        <v/>
      </c>
      <c r="I336" s="28" t="str">
        <f>IF($C336="","",SUM($E$5:$E336))</f>
        <v/>
      </c>
      <c r="J336" s="29"/>
    </row>
    <row r="337" spans="1:10" x14ac:dyDescent="0.3">
      <c r="A337" s="26" t="str">
        <f>IF($C337="","",333)</f>
        <v/>
      </c>
      <c r="B337" s="27" t="str">
        <f>IF($C337="","",EDATE(Loan!$B$8,333-1))</f>
        <v/>
      </c>
      <c r="C337" s="28" t="str">
        <f t="shared" si="17"/>
        <v/>
      </c>
      <c r="D337" s="28" t="str">
        <f t="shared" si="15"/>
        <v/>
      </c>
      <c r="E337" s="28" t="str">
        <f>IF($C337="","",ROUND($C337*Loan!$B$6/12,2))</f>
        <v/>
      </c>
      <c r="F337" s="28" t="str">
        <f>IF($C337="","",IF(333&gt;=Loan!$B$7,$C337,MIN($C337,MAX(0,Loan!$B$14-$E337))))</f>
        <v/>
      </c>
      <c r="G337" s="28" t="str">
        <f>IF($C337="","",MAX(0,MIN($C337-$F337,N(Loan!$B$9)+IF(333=N(Loan!$B$11),N(Loan!$B$10),0))))</f>
        <v/>
      </c>
      <c r="H337" s="28" t="str">
        <f t="shared" si="16"/>
        <v/>
      </c>
      <c r="I337" s="28" t="str">
        <f>IF($C337="","",SUM($E$5:$E337))</f>
        <v/>
      </c>
      <c r="J337" s="29"/>
    </row>
    <row r="338" spans="1:10" x14ac:dyDescent="0.3">
      <c r="A338" s="26" t="str">
        <f>IF($C338="","",334)</f>
        <v/>
      </c>
      <c r="B338" s="27" t="str">
        <f>IF($C338="","",EDATE(Loan!$B$8,334-1))</f>
        <v/>
      </c>
      <c r="C338" s="28" t="str">
        <f t="shared" si="17"/>
        <v/>
      </c>
      <c r="D338" s="28" t="str">
        <f t="shared" si="15"/>
        <v/>
      </c>
      <c r="E338" s="28" t="str">
        <f>IF($C338="","",ROUND($C338*Loan!$B$6/12,2))</f>
        <v/>
      </c>
      <c r="F338" s="28" t="str">
        <f>IF($C338="","",IF(334&gt;=Loan!$B$7,$C338,MIN($C338,MAX(0,Loan!$B$14-$E338))))</f>
        <v/>
      </c>
      <c r="G338" s="28" t="str">
        <f>IF($C338="","",MAX(0,MIN($C338-$F338,N(Loan!$B$9)+IF(334=N(Loan!$B$11),N(Loan!$B$10),0))))</f>
        <v/>
      </c>
      <c r="H338" s="28" t="str">
        <f t="shared" si="16"/>
        <v/>
      </c>
      <c r="I338" s="28" t="str">
        <f>IF($C338="","",SUM($E$5:$E338))</f>
        <v/>
      </c>
      <c r="J338" s="29"/>
    </row>
    <row r="339" spans="1:10" x14ac:dyDescent="0.3">
      <c r="A339" s="26" t="str">
        <f>IF($C339="","",335)</f>
        <v/>
      </c>
      <c r="B339" s="27" t="str">
        <f>IF($C339="","",EDATE(Loan!$B$8,335-1))</f>
        <v/>
      </c>
      <c r="C339" s="28" t="str">
        <f t="shared" si="17"/>
        <v/>
      </c>
      <c r="D339" s="28" t="str">
        <f t="shared" si="15"/>
        <v/>
      </c>
      <c r="E339" s="28" t="str">
        <f>IF($C339="","",ROUND($C339*Loan!$B$6/12,2))</f>
        <v/>
      </c>
      <c r="F339" s="28" t="str">
        <f>IF($C339="","",IF(335&gt;=Loan!$B$7,$C339,MIN($C339,MAX(0,Loan!$B$14-$E339))))</f>
        <v/>
      </c>
      <c r="G339" s="28" t="str">
        <f>IF($C339="","",MAX(0,MIN($C339-$F339,N(Loan!$B$9)+IF(335=N(Loan!$B$11),N(Loan!$B$10),0))))</f>
        <v/>
      </c>
      <c r="H339" s="28" t="str">
        <f t="shared" si="16"/>
        <v/>
      </c>
      <c r="I339" s="28" t="str">
        <f>IF($C339="","",SUM($E$5:$E339))</f>
        <v/>
      </c>
      <c r="J339" s="29"/>
    </row>
    <row r="340" spans="1:10" x14ac:dyDescent="0.3">
      <c r="A340" s="26" t="str">
        <f>IF($C340="","",336)</f>
        <v/>
      </c>
      <c r="B340" s="27" t="str">
        <f>IF($C340="","",EDATE(Loan!$B$8,336-1))</f>
        <v/>
      </c>
      <c r="C340" s="28" t="str">
        <f t="shared" si="17"/>
        <v/>
      </c>
      <c r="D340" s="28" t="str">
        <f t="shared" si="15"/>
        <v/>
      </c>
      <c r="E340" s="28" t="str">
        <f>IF($C340="","",ROUND($C340*Loan!$B$6/12,2))</f>
        <v/>
      </c>
      <c r="F340" s="28" t="str">
        <f>IF($C340="","",IF(336&gt;=Loan!$B$7,$C340,MIN($C340,MAX(0,Loan!$B$14-$E340))))</f>
        <v/>
      </c>
      <c r="G340" s="28" t="str">
        <f>IF($C340="","",MAX(0,MIN($C340-$F340,N(Loan!$B$9)+IF(336=N(Loan!$B$11),N(Loan!$B$10),0))))</f>
        <v/>
      </c>
      <c r="H340" s="28" t="str">
        <f t="shared" si="16"/>
        <v/>
      </c>
      <c r="I340" s="28" t="str">
        <f>IF($C340="","",SUM($E$5:$E340))</f>
        <v/>
      </c>
      <c r="J340" s="29"/>
    </row>
    <row r="341" spans="1:10" x14ac:dyDescent="0.3">
      <c r="A341" s="26" t="str">
        <f>IF($C341="","",337)</f>
        <v/>
      </c>
      <c r="B341" s="27" t="str">
        <f>IF($C341="","",EDATE(Loan!$B$8,337-1))</f>
        <v/>
      </c>
      <c r="C341" s="28" t="str">
        <f t="shared" si="17"/>
        <v/>
      </c>
      <c r="D341" s="28" t="str">
        <f t="shared" si="15"/>
        <v/>
      </c>
      <c r="E341" s="28" t="str">
        <f>IF($C341="","",ROUND($C341*Loan!$B$6/12,2))</f>
        <v/>
      </c>
      <c r="F341" s="28" t="str">
        <f>IF($C341="","",IF(337&gt;=Loan!$B$7,$C341,MIN($C341,MAX(0,Loan!$B$14-$E341))))</f>
        <v/>
      </c>
      <c r="G341" s="28" t="str">
        <f>IF($C341="","",MAX(0,MIN($C341-$F341,N(Loan!$B$9)+IF(337=N(Loan!$B$11),N(Loan!$B$10),0))))</f>
        <v/>
      </c>
      <c r="H341" s="28" t="str">
        <f t="shared" si="16"/>
        <v/>
      </c>
      <c r="I341" s="28" t="str">
        <f>IF($C341="","",SUM($E$5:$E341))</f>
        <v/>
      </c>
      <c r="J341" s="29"/>
    </row>
    <row r="342" spans="1:10" x14ac:dyDescent="0.3">
      <c r="A342" s="26" t="str">
        <f>IF($C342="","",338)</f>
        <v/>
      </c>
      <c r="B342" s="27" t="str">
        <f>IF($C342="","",EDATE(Loan!$B$8,338-1))</f>
        <v/>
      </c>
      <c r="C342" s="28" t="str">
        <f t="shared" si="17"/>
        <v/>
      </c>
      <c r="D342" s="28" t="str">
        <f t="shared" si="15"/>
        <v/>
      </c>
      <c r="E342" s="28" t="str">
        <f>IF($C342="","",ROUND($C342*Loan!$B$6/12,2))</f>
        <v/>
      </c>
      <c r="F342" s="28" t="str">
        <f>IF($C342="","",IF(338&gt;=Loan!$B$7,$C342,MIN($C342,MAX(0,Loan!$B$14-$E342))))</f>
        <v/>
      </c>
      <c r="G342" s="28" t="str">
        <f>IF($C342="","",MAX(0,MIN($C342-$F342,N(Loan!$B$9)+IF(338=N(Loan!$B$11),N(Loan!$B$10),0))))</f>
        <v/>
      </c>
      <c r="H342" s="28" t="str">
        <f t="shared" si="16"/>
        <v/>
      </c>
      <c r="I342" s="28" t="str">
        <f>IF($C342="","",SUM($E$5:$E342))</f>
        <v/>
      </c>
      <c r="J342" s="29"/>
    </row>
    <row r="343" spans="1:10" x14ac:dyDescent="0.3">
      <c r="A343" s="26" t="str">
        <f>IF($C343="","",339)</f>
        <v/>
      </c>
      <c r="B343" s="27" t="str">
        <f>IF($C343="","",EDATE(Loan!$B$8,339-1))</f>
        <v/>
      </c>
      <c r="C343" s="28" t="str">
        <f t="shared" si="17"/>
        <v/>
      </c>
      <c r="D343" s="28" t="str">
        <f t="shared" si="15"/>
        <v/>
      </c>
      <c r="E343" s="28" t="str">
        <f>IF($C343="","",ROUND($C343*Loan!$B$6/12,2))</f>
        <v/>
      </c>
      <c r="F343" s="28" t="str">
        <f>IF($C343="","",IF(339&gt;=Loan!$B$7,$C343,MIN($C343,MAX(0,Loan!$B$14-$E343))))</f>
        <v/>
      </c>
      <c r="G343" s="28" t="str">
        <f>IF($C343="","",MAX(0,MIN($C343-$F343,N(Loan!$B$9)+IF(339=N(Loan!$B$11),N(Loan!$B$10),0))))</f>
        <v/>
      </c>
      <c r="H343" s="28" t="str">
        <f t="shared" si="16"/>
        <v/>
      </c>
      <c r="I343" s="28" t="str">
        <f>IF($C343="","",SUM($E$5:$E343))</f>
        <v/>
      </c>
      <c r="J343" s="29"/>
    </row>
    <row r="344" spans="1:10" x14ac:dyDescent="0.3">
      <c r="A344" s="26" t="str">
        <f>IF($C344="","",340)</f>
        <v/>
      </c>
      <c r="B344" s="27" t="str">
        <f>IF($C344="","",EDATE(Loan!$B$8,340-1))</f>
        <v/>
      </c>
      <c r="C344" s="28" t="str">
        <f t="shared" si="17"/>
        <v/>
      </c>
      <c r="D344" s="28" t="str">
        <f t="shared" si="15"/>
        <v/>
      </c>
      <c r="E344" s="28" t="str">
        <f>IF($C344="","",ROUND($C344*Loan!$B$6/12,2))</f>
        <v/>
      </c>
      <c r="F344" s="28" t="str">
        <f>IF($C344="","",IF(340&gt;=Loan!$B$7,$C344,MIN($C344,MAX(0,Loan!$B$14-$E344))))</f>
        <v/>
      </c>
      <c r="G344" s="28" t="str">
        <f>IF($C344="","",MAX(0,MIN($C344-$F344,N(Loan!$B$9)+IF(340=N(Loan!$B$11),N(Loan!$B$10),0))))</f>
        <v/>
      </c>
      <c r="H344" s="28" t="str">
        <f t="shared" si="16"/>
        <v/>
      </c>
      <c r="I344" s="28" t="str">
        <f>IF($C344="","",SUM($E$5:$E344))</f>
        <v/>
      </c>
      <c r="J344" s="29"/>
    </row>
    <row r="345" spans="1:10" x14ac:dyDescent="0.3">
      <c r="A345" s="26" t="str">
        <f>IF($C345="","",341)</f>
        <v/>
      </c>
      <c r="B345" s="27" t="str">
        <f>IF($C345="","",EDATE(Loan!$B$8,341-1))</f>
        <v/>
      </c>
      <c r="C345" s="28" t="str">
        <f t="shared" si="17"/>
        <v/>
      </c>
      <c r="D345" s="28" t="str">
        <f t="shared" si="15"/>
        <v/>
      </c>
      <c r="E345" s="28" t="str">
        <f>IF($C345="","",ROUND($C345*Loan!$B$6/12,2))</f>
        <v/>
      </c>
      <c r="F345" s="28" t="str">
        <f>IF($C345="","",IF(341&gt;=Loan!$B$7,$C345,MIN($C345,MAX(0,Loan!$B$14-$E345))))</f>
        <v/>
      </c>
      <c r="G345" s="28" t="str">
        <f>IF($C345="","",MAX(0,MIN($C345-$F345,N(Loan!$B$9)+IF(341=N(Loan!$B$11),N(Loan!$B$10),0))))</f>
        <v/>
      </c>
      <c r="H345" s="28" t="str">
        <f t="shared" si="16"/>
        <v/>
      </c>
      <c r="I345" s="28" t="str">
        <f>IF($C345="","",SUM($E$5:$E345))</f>
        <v/>
      </c>
      <c r="J345" s="29"/>
    </row>
    <row r="346" spans="1:10" x14ac:dyDescent="0.3">
      <c r="A346" s="26" t="str">
        <f>IF($C346="","",342)</f>
        <v/>
      </c>
      <c r="B346" s="27" t="str">
        <f>IF($C346="","",EDATE(Loan!$B$8,342-1))</f>
        <v/>
      </c>
      <c r="C346" s="28" t="str">
        <f t="shared" si="17"/>
        <v/>
      </c>
      <c r="D346" s="28" t="str">
        <f t="shared" si="15"/>
        <v/>
      </c>
      <c r="E346" s="28" t="str">
        <f>IF($C346="","",ROUND($C346*Loan!$B$6/12,2))</f>
        <v/>
      </c>
      <c r="F346" s="28" t="str">
        <f>IF($C346="","",IF(342&gt;=Loan!$B$7,$C346,MIN($C346,MAX(0,Loan!$B$14-$E346))))</f>
        <v/>
      </c>
      <c r="G346" s="28" t="str">
        <f>IF($C346="","",MAX(0,MIN($C346-$F346,N(Loan!$B$9)+IF(342=N(Loan!$B$11),N(Loan!$B$10),0))))</f>
        <v/>
      </c>
      <c r="H346" s="28" t="str">
        <f t="shared" si="16"/>
        <v/>
      </c>
      <c r="I346" s="28" t="str">
        <f>IF($C346="","",SUM($E$5:$E346))</f>
        <v/>
      </c>
      <c r="J346" s="29"/>
    </row>
    <row r="347" spans="1:10" x14ac:dyDescent="0.3">
      <c r="A347" s="26" t="str">
        <f>IF($C347="","",343)</f>
        <v/>
      </c>
      <c r="B347" s="27" t="str">
        <f>IF($C347="","",EDATE(Loan!$B$8,343-1))</f>
        <v/>
      </c>
      <c r="C347" s="28" t="str">
        <f t="shared" si="17"/>
        <v/>
      </c>
      <c r="D347" s="28" t="str">
        <f t="shared" si="15"/>
        <v/>
      </c>
      <c r="E347" s="28" t="str">
        <f>IF($C347="","",ROUND($C347*Loan!$B$6/12,2))</f>
        <v/>
      </c>
      <c r="F347" s="28" t="str">
        <f>IF($C347="","",IF(343&gt;=Loan!$B$7,$C347,MIN($C347,MAX(0,Loan!$B$14-$E347))))</f>
        <v/>
      </c>
      <c r="G347" s="28" t="str">
        <f>IF($C347="","",MAX(0,MIN($C347-$F347,N(Loan!$B$9)+IF(343=N(Loan!$B$11),N(Loan!$B$10),0))))</f>
        <v/>
      </c>
      <c r="H347" s="28" t="str">
        <f t="shared" si="16"/>
        <v/>
      </c>
      <c r="I347" s="28" t="str">
        <f>IF($C347="","",SUM($E$5:$E347))</f>
        <v/>
      </c>
      <c r="J347" s="29"/>
    </row>
    <row r="348" spans="1:10" x14ac:dyDescent="0.3">
      <c r="A348" s="26" t="str">
        <f>IF($C348="","",344)</f>
        <v/>
      </c>
      <c r="B348" s="27" t="str">
        <f>IF($C348="","",EDATE(Loan!$B$8,344-1))</f>
        <v/>
      </c>
      <c r="C348" s="28" t="str">
        <f t="shared" si="17"/>
        <v/>
      </c>
      <c r="D348" s="28" t="str">
        <f t="shared" si="15"/>
        <v/>
      </c>
      <c r="E348" s="28" t="str">
        <f>IF($C348="","",ROUND($C348*Loan!$B$6/12,2))</f>
        <v/>
      </c>
      <c r="F348" s="28" t="str">
        <f>IF($C348="","",IF(344&gt;=Loan!$B$7,$C348,MIN($C348,MAX(0,Loan!$B$14-$E348))))</f>
        <v/>
      </c>
      <c r="G348" s="28" t="str">
        <f>IF($C348="","",MAX(0,MIN($C348-$F348,N(Loan!$B$9)+IF(344=N(Loan!$B$11),N(Loan!$B$10),0))))</f>
        <v/>
      </c>
      <c r="H348" s="28" t="str">
        <f t="shared" si="16"/>
        <v/>
      </c>
      <c r="I348" s="28" t="str">
        <f>IF($C348="","",SUM($E$5:$E348))</f>
        <v/>
      </c>
      <c r="J348" s="29"/>
    </row>
    <row r="349" spans="1:10" x14ac:dyDescent="0.3">
      <c r="A349" s="26" t="str">
        <f>IF($C349="","",345)</f>
        <v/>
      </c>
      <c r="B349" s="27" t="str">
        <f>IF($C349="","",EDATE(Loan!$B$8,345-1))</f>
        <v/>
      </c>
      <c r="C349" s="28" t="str">
        <f t="shared" si="17"/>
        <v/>
      </c>
      <c r="D349" s="28" t="str">
        <f t="shared" si="15"/>
        <v/>
      </c>
      <c r="E349" s="28" t="str">
        <f>IF($C349="","",ROUND($C349*Loan!$B$6/12,2))</f>
        <v/>
      </c>
      <c r="F349" s="28" t="str">
        <f>IF($C349="","",IF(345&gt;=Loan!$B$7,$C349,MIN($C349,MAX(0,Loan!$B$14-$E349))))</f>
        <v/>
      </c>
      <c r="G349" s="28" t="str">
        <f>IF($C349="","",MAX(0,MIN($C349-$F349,N(Loan!$B$9)+IF(345=N(Loan!$B$11),N(Loan!$B$10),0))))</f>
        <v/>
      </c>
      <c r="H349" s="28" t="str">
        <f t="shared" si="16"/>
        <v/>
      </c>
      <c r="I349" s="28" t="str">
        <f>IF($C349="","",SUM($E$5:$E349))</f>
        <v/>
      </c>
      <c r="J349" s="29"/>
    </row>
    <row r="350" spans="1:10" x14ac:dyDescent="0.3">
      <c r="A350" s="26" t="str">
        <f>IF($C350="","",346)</f>
        <v/>
      </c>
      <c r="B350" s="27" t="str">
        <f>IF($C350="","",EDATE(Loan!$B$8,346-1))</f>
        <v/>
      </c>
      <c r="C350" s="28" t="str">
        <f t="shared" si="17"/>
        <v/>
      </c>
      <c r="D350" s="28" t="str">
        <f t="shared" si="15"/>
        <v/>
      </c>
      <c r="E350" s="28" t="str">
        <f>IF($C350="","",ROUND($C350*Loan!$B$6/12,2))</f>
        <v/>
      </c>
      <c r="F350" s="28" t="str">
        <f>IF($C350="","",IF(346&gt;=Loan!$B$7,$C350,MIN($C350,MAX(0,Loan!$B$14-$E350))))</f>
        <v/>
      </c>
      <c r="G350" s="28" t="str">
        <f>IF($C350="","",MAX(0,MIN($C350-$F350,N(Loan!$B$9)+IF(346=N(Loan!$B$11),N(Loan!$B$10),0))))</f>
        <v/>
      </c>
      <c r="H350" s="28" t="str">
        <f t="shared" si="16"/>
        <v/>
      </c>
      <c r="I350" s="28" t="str">
        <f>IF($C350="","",SUM($E$5:$E350))</f>
        <v/>
      </c>
      <c r="J350" s="29"/>
    </row>
    <row r="351" spans="1:10" x14ac:dyDescent="0.3">
      <c r="A351" s="26" t="str">
        <f>IF($C351="","",347)</f>
        <v/>
      </c>
      <c r="B351" s="27" t="str">
        <f>IF($C351="","",EDATE(Loan!$B$8,347-1))</f>
        <v/>
      </c>
      <c r="C351" s="28" t="str">
        <f t="shared" si="17"/>
        <v/>
      </c>
      <c r="D351" s="28" t="str">
        <f t="shared" si="15"/>
        <v/>
      </c>
      <c r="E351" s="28" t="str">
        <f>IF($C351="","",ROUND($C351*Loan!$B$6/12,2))</f>
        <v/>
      </c>
      <c r="F351" s="28" t="str">
        <f>IF($C351="","",IF(347&gt;=Loan!$B$7,$C351,MIN($C351,MAX(0,Loan!$B$14-$E351))))</f>
        <v/>
      </c>
      <c r="G351" s="28" t="str">
        <f>IF($C351="","",MAX(0,MIN($C351-$F351,N(Loan!$B$9)+IF(347=N(Loan!$B$11),N(Loan!$B$10),0))))</f>
        <v/>
      </c>
      <c r="H351" s="28" t="str">
        <f t="shared" si="16"/>
        <v/>
      </c>
      <c r="I351" s="28" t="str">
        <f>IF($C351="","",SUM($E$5:$E351))</f>
        <v/>
      </c>
      <c r="J351" s="29"/>
    </row>
    <row r="352" spans="1:10" x14ac:dyDescent="0.3">
      <c r="A352" s="26" t="str">
        <f>IF($C352="","",348)</f>
        <v/>
      </c>
      <c r="B352" s="27" t="str">
        <f>IF($C352="","",EDATE(Loan!$B$8,348-1))</f>
        <v/>
      </c>
      <c r="C352" s="28" t="str">
        <f t="shared" si="17"/>
        <v/>
      </c>
      <c r="D352" s="28" t="str">
        <f t="shared" si="15"/>
        <v/>
      </c>
      <c r="E352" s="28" t="str">
        <f>IF($C352="","",ROUND($C352*Loan!$B$6/12,2))</f>
        <v/>
      </c>
      <c r="F352" s="28" t="str">
        <f>IF($C352="","",IF(348&gt;=Loan!$B$7,$C352,MIN($C352,MAX(0,Loan!$B$14-$E352))))</f>
        <v/>
      </c>
      <c r="G352" s="28" t="str">
        <f>IF($C352="","",MAX(0,MIN($C352-$F352,N(Loan!$B$9)+IF(348=N(Loan!$B$11),N(Loan!$B$10),0))))</f>
        <v/>
      </c>
      <c r="H352" s="28" t="str">
        <f t="shared" si="16"/>
        <v/>
      </c>
      <c r="I352" s="28" t="str">
        <f>IF($C352="","",SUM($E$5:$E352))</f>
        <v/>
      </c>
      <c r="J352" s="29"/>
    </row>
    <row r="353" spans="1:10" x14ac:dyDescent="0.3">
      <c r="A353" s="26" t="str">
        <f>IF($C353="","",349)</f>
        <v/>
      </c>
      <c r="B353" s="27" t="str">
        <f>IF($C353="","",EDATE(Loan!$B$8,349-1))</f>
        <v/>
      </c>
      <c r="C353" s="28" t="str">
        <f t="shared" si="17"/>
        <v/>
      </c>
      <c r="D353" s="28" t="str">
        <f t="shared" si="15"/>
        <v/>
      </c>
      <c r="E353" s="28" t="str">
        <f>IF($C353="","",ROUND($C353*Loan!$B$6/12,2))</f>
        <v/>
      </c>
      <c r="F353" s="28" t="str">
        <f>IF($C353="","",IF(349&gt;=Loan!$B$7,$C353,MIN($C353,MAX(0,Loan!$B$14-$E353))))</f>
        <v/>
      </c>
      <c r="G353" s="28" t="str">
        <f>IF($C353="","",MAX(0,MIN($C353-$F353,N(Loan!$B$9)+IF(349=N(Loan!$B$11),N(Loan!$B$10),0))))</f>
        <v/>
      </c>
      <c r="H353" s="28" t="str">
        <f t="shared" si="16"/>
        <v/>
      </c>
      <c r="I353" s="28" t="str">
        <f>IF($C353="","",SUM($E$5:$E353))</f>
        <v/>
      </c>
      <c r="J353" s="29"/>
    </row>
    <row r="354" spans="1:10" x14ac:dyDescent="0.3">
      <c r="A354" s="26" t="str">
        <f>IF($C354="","",350)</f>
        <v/>
      </c>
      <c r="B354" s="27" t="str">
        <f>IF($C354="","",EDATE(Loan!$B$8,350-1))</f>
        <v/>
      </c>
      <c r="C354" s="28" t="str">
        <f t="shared" si="17"/>
        <v/>
      </c>
      <c r="D354" s="28" t="str">
        <f t="shared" si="15"/>
        <v/>
      </c>
      <c r="E354" s="28" t="str">
        <f>IF($C354="","",ROUND($C354*Loan!$B$6/12,2))</f>
        <v/>
      </c>
      <c r="F354" s="28" t="str">
        <f>IF($C354="","",IF(350&gt;=Loan!$B$7,$C354,MIN($C354,MAX(0,Loan!$B$14-$E354))))</f>
        <v/>
      </c>
      <c r="G354" s="28" t="str">
        <f>IF($C354="","",MAX(0,MIN($C354-$F354,N(Loan!$B$9)+IF(350=N(Loan!$B$11),N(Loan!$B$10),0))))</f>
        <v/>
      </c>
      <c r="H354" s="28" t="str">
        <f t="shared" si="16"/>
        <v/>
      </c>
      <c r="I354" s="28" t="str">
        <f>IF($C354="","",SUM($E$5:$E354))</f>
        <v/>
      </c>
      <c r="J354" s="29"/>
    </row>
    <row r="355" spans="1:10" x14ac:dyDescent="0.3">
      <c r="A355" s="26" t="str">
        <f>IF($C355="","",351)</f>
        <v/>
      </c>
      <c r="B355" s="27" t="str">
        <f>IF($C355="","",EDATE(Loan!$B$8,351-1))</f>
        <v/>
      </c>
      <c r="C355" s="28" t="str">
        <f t="shared" si="17"/>
        <v/>
      </c>
      <c r="D355" s="28" t="str">
        <f t="shared" si="15"/>
        <v/>
      </c>
      <c r="E355" s="28" t="str">
        <f>IF($C355="","",ROUND($C355*Loan!$B$6/12,2))</f>
        <v/>
      </c>
      <c r="F355" s="28" t="str">
        <f>IF($C355="","",IF(351&gt;=Loan!$B$7,$C355,MIN($C355,MAX(0,Loan!$B$14-$E355))))</f>
        <v/>
      </c>
      <c r="G355" s="28" t="str">
        <f>IF($C355="","",MAX(0,MIN($C355-$F355,N(Loan!$B$9)+IF(351=N(Loan!$B$11),N(Loan!$B$10),0))))</f>
        <v/>
      </c>
      <c r="H355" s="28" t="str">
        <f t="shared" si="16"/>
        <v/>
      </c>
      <c r="I355" s="28" t="str">
        <f>IF($C355="","",SUM($E$5:$E355))</f>
        <v/>
      </c>
      <c r="J355" s="29"/>
    </row>
    <row r="356" spans="1:10" x14ac:dyDescent="0.3">
      <c r="A356" s="26" t="str">
        <f>IF($C356="","",352)</f>
        <v/>
      </c>
      <c r="B356" s="27" t="str">
        <f>IF($C356="","",EDATE(Loan!$B$8,352-1))</f>
        <v/>
      </c>
      <c r="C356" s="28" t="str">
        <f t="shared" si="17"/>
        <v/>
      </c>
      <c r="D356" s="28" t="str">
        <f t="shared" si="15"/>
        <v/>
      </c>
      <c r="E356" s="28" t="str">
        <f>IF($C356="","",ROUND($C356*Loan!$B$6/12,2))</f>
        <v/>
      </c>
      <c r="F356" s="28" t="str">
        <f>IF($C356="","",IF(352&gt;=Loan!$B$7,$C356,MIN($C356,MAX(0,Loan!$B$14-$E356))))</f>
        <v/>
      </c>
      <c r="G356" s="28" t="str">
        <f>IF($C356="","",MAX(0,MIN($C356-$F356,N(Loan!$B$9)+IF(352=N(Loan!$B$11),N(Loan!$B$10),0))))</f>
        <v/>
      </c>
      <c r="H356" s="28" t="str">
        <f t="shared" si="16"/>
        <v/>
      </c>
      <c r="I356" s="28" t="str">
        <f>IF($C356="","",SUM($E$5:$E356))</f>
        <v/>
      </c>
      <c r="J356" s="29"/>
    </row>
    <row r="357" spans="1:10" x14ac:dyDescent="0.3">
      <c r="A357" s="26" t="str">
        <f>IF($C357="","",353)</f>
        <v/>
      </c>
      <c r="B357" s="27" t="str">
        <f>IF($C357="","",EDATE(Loan!$B$8,353-1))</f>
        <v/>
      </c>
      <c r="C357" s="28" t="str">
        <f t="shared" si="17"/>
        <v/>
      </c>
      <c r="D357" s="28" t="str">
        <f t="shared" si="15"/>
        <v/>
      </c>
      <c r="E357" s="28" t="str">
        <f>IF($C357="","",ROUND($C357*Loan!$B$6/12,2))</f>
        <v/>
      </c>
      <c r="F357" s="28" t="str">
        <f>IF($C357="","",IF(353&gt;=Loan!$B$7,$C357,MIN($C357,MAX(0,Loan!$B$14-$E357))))</f>
        <v/>
      </c>
      <c r="G357" s="28" t="str">
        <f>IF($C357="","",MAX(0,MIN($C357-$F357,N(Loan!$B$9)+IF(353=N(Loan!$B$11),N(Loan!$B$10),0))))</f>
        <v/>
      </c>
      <c r="H357" s="28" t="str">
        <f t="shared" si="16"/>
        <v/>
      </c>
      <c r="I357" s="28" t="str">
        <f>IF($C357="","",SUM($E$5:$E357))</f>
        <v/>
      </c>
      <c r="J357" s="29"/>
    </row>
    <row r="358" spans="1:10" x14ac:dyDescent="0.3">
      <c r="A358" s="26" t="str">
        <f>IF($C358="","",354)</f>
        <v/>
      </c>
      <c r="B358" s="27" t="str">
        <f>IF($C358="","",EDATE(Loan!$B$8,354-1))</f>
        <v/>
      </c>
      <c r="C358" s="28" t="str">
        <f t="shared" si="17"/>
        <v/>
      </c>
      <c r="D358" s="28" t="str">
        <f t="shared" si="15"/>
        <v/>
      </c>
      <c r="E358" s="28" t="str">
        <f>IF($C358="","",ROUND($C358*Loan!$B$6/12,2))</f>
        <v/>
      </c>
      <c r="F358" s="28" t="str">
        <f>IF($C358="","",IF(354&gt;=Loan!$B$7,$C358,MIN($C358,MAX(0,Loan!$B$14-$E358))))</f>
        <v/>
      </c>
      <c r="G358" s="28" t="str">
        <f>IF($C358="","",MAX(0,MIN($C358-$F358,N(Loan!$B$9)+IF(354=N(Loan!$B$11),N(Loan!$B$10),0))))</f>
        <v/>
      </c>
      <c r="H358" s="28" t="str">
        <f t="shared" si="16"/>
        <v/>
      </c>
      <c r="I358" s="28" t="str">
        <f>IF($C358="","",SUM($E$5:$E358))</f>
        <v/>
      </c>
      <c r="J358" s="29"/>
    </row>
    <row r="359" spans="1:10" x14ac:dyDescent="0.3">
      <c r="A359" s="26" t="str">
        <f>IF($C359="","",355)</f>
        <v/>
      </c>
      <c r="B359" s="27" t="str">
        <f>IF($C359="","",EDATE(Loan!$B$8,355-1))</f>
        <v/>
      </c>
      <c r="C359" s="28" t="str">
        <f t="shared" si="17"/>
        <v/>
      </c>
      <c r="D359" s="28" t="str">
        <f t="shared" si="15"/>
        <v/>
      </c>
      <c r="E359" s="28" t="str">
        <f>IF($C359="","",ROUND($C359*Loan!$B$6/12,2))</f>
        <v/>
      </c>
      <c r="F359" s="28" t="str">
        <f>IF($C359="","",IF(355&gt;=Loan!$B$7,$C359,MIN($C359,MAX(0,Loan!$B$14-$E359))))</f>
        <v/>
      </c>
      <c r="G359" s="28" t="str">
        <f>IF($C359="","",MAX(0,MIN($C359-$F359,N(Loan!$B$9)+IF(355=N(Loan!$B$11),N(Loan!$B$10),0))))</f>
        <v/>
      </c>
      <c r="H359" s="28" t="str">
        <f t="shared" si="16"/>
        <v/>
      </c>
      <c r="I359" s="28" t="str">
        <f>IF($C359="","",SUM($E$5:$E359))</f>
        <v/>
      </c>
      <c r="J359" s="29"/>
    </row>
    <row r="360" spans="1:10" x14ac:dyDescent="0.3">
      <c r="A360" s="26" t="str">
        <f>IF($C360="","",356)</f>
        <v/>
      </c>
      <c r="B360" s="27" t="str">
        <f>IF($C360="","",EDATE(Loan!$B$8,356-1))</f>
        <v/>
      </c>
      <c r="C360" s="28" t="str">
        <f t="shared" si="17"/>
        <v/>
      </c>
      <c r="D360" s="28" t="str">
        <f t="shared" si="15"/>
        <v/>
      </c>
      <c r="E360" s="28" t="str">
        <f>IF($C360="","",ROUND($C360*Loan!$B$6/12,2))</f>
        <v/>
      </c>
      <c r="F360" s="28" t="str">
        <f>IF($C360="","",IF(356&gt;=Loan!$B$7,$C360,MIN($C360,MAX(0,Loan!$B$14-$E360))))</f>
        <v/>
      </c>
      <c r="G360" s="28" t="str">
        <f>IF($C360="","",MAX(0,MIN($C360-$F360,N(Loan!$B$9)+IF(356=N(Loan!$B$11),N(Loan!$B$10),0))))</f>
        <v/>
      </c>
      <c r="H360" s="28" t="str">
        <f t="shared" si="16"/>
        <v/>
      </c>
      <c r="I360" s="28" t="str">
        <f>IF($C360="","",SUM($E$5:$E360))</f>
        <v/>
      </c>
      <c r="J360" s="29"/>
    </row>
    <row r="361" spans="1:10" x14ac:dyDescent="0.3">
      <c r="A361" s="26" t="str">
        <f>IF($C361="","",357)</f>
        <v/>
      </c>
      <c r="B361" s="27" t="str">
        <f>IF($C361="","",EDATE(Loan!$B$8,357-1))</f>
        <v/>
      </c>
      <c r="C361" s="28" t="str">
        <f t="shared" si="17"/>
        <v/>
      </c>
      <c r="D361" s="28" t="str">
        <f t="shared" si="15"/>
        <v/>
      </c>
      <c r="E361" s="28" t="str">
        <f>IF($C361="","",ROUND($C361*Loan!$B$6/12,2))</f>
        <v/>
      </c>
      <c r="F361" s="28" t="str">
        <f>IF($C361="","",IF(357&gt;=Loan!$B$7,$C361,MIN($C361,MAX(0,Loan!$B$14-$E361))))</f>
        <v/>
      </c>
      <c r="G361" s="28" t="str">
        <f>IF($C361="","",MAX(0,MIN($C361-$F361,N(Loan!$B$9)+IF(357=N(Loan!$B$11),N(Loan!$B$10),0))))</f>
        <v/>
      </c>
      <c r="H361" s="28" t="str">
        <f t="shared" si="16"/>
        <v/>
      </c>
      <c r="I361" s="28" t="str">
        <f>IF($C361="","",SUM($E$5:$E361))</f>
        <v/>
      </c>
      <c r="J361" s="29"/>
    </row>
    <row r="362" spans="1:10" x14ac:dyDescent="0.3">
      <c r="A362" s="26" t="str">
        <f>IF($C362="","",358)</f>
        <v/>
      </c>
      <c r="B362" s="27" t="str">
        <f>IF($C362="","",EDATE(Loan!$B$8,358-1))</f>
        <v/>
      </c>
      <c r="C362" s="28" t="str">
        <f t="shared" si="17"/>
        <v/>
      </c>
      <c r="D362" s="28" t="str">
        <f t="shared" si="15"/>
        <v/>
      </c>
      <c r="E362" s="28" t="str">
        <f>IF($C362="","",ROUND($C362*Loan!$B$6/12,2))</f>
        <v/>
      </c>
      <c r="F362" s="28" t="str">
        <f>IF($C362="","",IF(358&gt;=Loan!$B$7,$C362,MIN($C362,MAX(0,Loan!$B$14-$E362))))</f>
        <v/>
      </c>
      <c r="G362" s="28" t="str">
        <f>IF($C362="","",MAX(0,MIN($C362-$F362,N(Loan!$B$9)+IF(358=N(Loan!$B$11),N(Loan!$B$10),0))))</f>
        <v/>
      </c>
      <c r="H362" s="28" t="str">
        <f t="shared" si="16"/>
        <v/>
      </c>
      <c r="I362" s="28" t="str">
        <f>IF($C362="","",SUM($E$5:$E362))</f>
        <v/>
      </c>
      <c r="J362" s="29"/>
    </row>
    <row r="363" spans="1:10" x14ac:dyDescent="0.3">
      <c r="A363" s="26" t="str">
        <f>IF($C363="","",359)</f>
        <v/>
      </c>
      <c r="B363" s="27" t="str">
        <f>IF($C363="","",EDATE(Loan!$B$8,359-1))</f>
        <v/>
      </c>
      <c r="C363" s="28" t="str">
        <f t="shared" si="17"/>
        <v/>
      </c>
      <c r="D363" s="28" t="str">
        <f t="shared" si="15"/>
        <v/>
      </c>
      <c r="E363" s="28" t="str">
        <f>IF($C363="","",ROUND($C363*Loan!$B$6/12,2))</f>
        <v/>
      </c>
      <c r="F363" s="28" t="str">
        <f>IF($C363="","",IF(359&gt;=Loan!$B$7,$C363,MIN($C363,MAX(0,Loan!$B$14-$E363))))</f>
        <v/>
      </c>
      <c r="G363" s="28" t="str">
        <f>IF($C363="","",MAX(0,MIN($C363-$F363,N(Loan!$B$9)+IF(359=N(Loan!$B$11),N(Loan!$B$10),0))))</f>
        <v/>
      </c>
      <c r="H363" s="28" t="str">
        <f t="shared" si="16"/>
        <v/>
      </c>
      <c r="I363" s="28" t="str">
        <f>IF($C363="","",SUM($E$5:$E363))</f>
        <v/>
      </c>
      <c r="J363" s="29"/>
    </row>
    <row r="364" spans="1:10" x14ac:dyDescent="0.3">
      <c r="A364" s="26" t="str">
        <f>IF($C364="","",360)</f>
        <v/>
      </c>
      <c r="B364" s="27" t="str">
        <f>IF($C364="","",EDATE(Loan!$B$8,360-1))</f>
        <v/>
      </c>
      <c r="C364" s="28" t="str">
        <f t="shared" si="17"/>
        <v/>
      </c>
      <c r="D364" s="28" t="str">
        <f t="shared" si="15"/>
        <v/>
      </c>
      <c r="E364" s="28" t="str">
        <f>IF($C364="","",ROUND($C364*Loan!$B$6/12,2))</f>
        <v/>
      </c>
      <c r="F364" s="28" t="str">
        <f>IF($C364="","",IF(360&gt;=Loan!$B$7,$C364,MIN($C364,MAX(0,Loan!$B$14-$E364))))</f>
        <v/>
      </c>
      <c r="G364" s="28" t="str">
        <f>IF($C364="","",MAX(0,MIN($C364-$F364,N(Loan!$B$9)+IF(360=N(Loan!$B$11),N(Loan!$B$10),0))))</f>
        <v/>
      </c>
      <c r="H364" s="28" t="str">
        <f t="shared" si="16"/>
        <v/>
      </c>
      <c r="I364" s="28" t="str">
        <f>IF($C364="","",SUM($E$5:$E364))</f>
        <v/>
      </c>
      <c r="J364" s="29"/>
    </row>
  </sheetData>
  <sheetProtection sheet="1" formatCells="0" formatColumns="0" formatRows="0" sort="0" autoFilter="0"/>
  <conditionalFormatting sqref="A5:J364">
    <cfRule type="expression" dxfId="1" priority="1">
      <formula>AND($A5&lt;&gt;"",$J5&lt;&gt;"")</formula>
    </cfRule>
  </conditionalFormatting>
  <conditionalFormatting sqref="G5:G364">
    <cfRule type="expression" dxfId="0" priority="2">
      <formula>N($G5)&gt;0</formula>
    </cfRule>
  </conditionalFormatting>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8"/>
  <sheetViews>
    <sheetView showGridLines="0" workbookViewId="0">
      <pane ySplit="8" topLeftCell="A9" activePane="bottomLeft" state="frozen"/>
      <selection pane="bottomLeft"/>
    </sheetView>
  </sheetViews>
  <sheetFormatPr defaultRowHeight="14.4" x14ac:dyDescent="0.3"/>
  <cols>
    <col min="1" max="1" width="26" customWidth="1"/>
    <col min="2" max="2" width="20" customWidth="1"/>
    <col min="3" max="3" width="13" customWidth="1"/>
    <col min="4" max="4" width="15" customWidth="1"/>
    <col min="5" max="5" width="9" customWidth="1"/>
    <col min="6" max="6" width="13" customWidth="1"/>
    <col min="7" max="7" width="9" customWidth="1"/>
    <col min="8" max="8" width="13" customWidth="1"/>
    <col min="9" max="9" width="12" customWidth="1"/>
    <col min="10" max="10" width="30" customWidth="1"/>
  </cols>
  <sheetData>
    <row r="1" spans="1:10" ht="25.95" customHeight="1" x14ac:dyDescent="0.4">
      <c r="A1" s="1" t="s">
        <v>73</v>
      </c>
    </row>
    <row r="2" spans="1:10" x14ac:dyDescent="0.3">
      <c r="A2" s="2" t="s">
        <v>74</v>
      </c>
    </row>
    <row r="3" spans="1:10" x14ac:dyDescent="0.3">
      <c r="A3" s="12" t="s">
        <v>75</v>
      </c>
      <c r="B3" s="15">
        <v>156000</v>
      </c>
    </row>
    <row r="4" spans="1:10" x14ac:dyDescent="0.3">
      <c r="A4" s="12" t="s">
        <v>76</v>
      </c>
      <c r="B4" s="21">
        <f>SUM(F9:F28)</f>
        <v>51358</v>
      </c>
    </row>
    <row r="5" spans="1:10" x14ac:dyDescent="0.3">
      <c r="A5" s="12" t="s">
        <v>77</v>
      </c>
      <c r="B5" s="21">
        <f>SUM(D9:D28)</f>
        <v>3630000</v>
      </c>
    </row>
    <row r="6" spans="1:10" x14ac:dyDescent="0.3">
      <c r="A6" s="12" t="s">
        <v>78</v>
      </c>
      <c r="B6" s="30">
        <f>IF(N(B3)&lt;=0,"",B4/B3)</f>
        <v>0.32921794871794874</v>
      </c>
      <c r="D6" s="14" t="s">
        <v>79</v>
      </c>
    </row>
    <row r="8" spans="1:10" ht="31.95" customHeight="1" x14ac:dyDescent="0.3">
      <c r="A8" s="25" t="s">
        <v>80</v>
      </c>
      <c r="B8" s="25" t="s">
        <v>81</v>
      </c>
      <c r="C8" s="25" t="s">
        <v>82</v>
      </c>
      <c r="D8" s="25" t="s">
        <v>83</v>
      </c>
      <c r="E8" s="25" t="s">
        <v>84</v>
      </c>
      <c r="F8" s="25" t="s">
        <v>85</v>
      </c>
      <c r="G8" s="25" t="s">
        <v>86</v>
      </c>
      <c r="H8" s="25" t="s">
        <v>87</v>
      </c>
      <c r="I8" s="25" t="s">
        <v>88</v>
      </c>
      <c r="J8" s="25" t="s">
        <v>89</v>
      </c>
    </row>
    <row r="9" spans="1:10" x14ac:dyDescent="0.3">
      <c r="A9" s="31" t="s">
        <v>27</v>
      </c>
      <c r="B9" s="31" t="s">
        <v>90</v>
      </c>
      <c r="C9" s="31" t="s">
        <v>91</v>
      </c>
      <c r="D9" s="32">
        <v>3180000</v>
      </c>
      <c r="E9" s="33">
        <v>8.5000000000000006E-2</v>
      </c>
      <c r="F9" s="32">
        <v>30374</v>
      </c>
      <c r="G9" s="31">
        <v>5</v>
      </c>
      <c r="H9" s="29">
        <v>52814</v>
      </c>
      <c r="I9" s="31" t="s">
        <v>92</v>
      </c>
      <c r="J9" s="31" t="s">
        <v>93</v>
      </c>
    </row>
    <row r="10" spans="1:10" x14ac:dyDescent="0.3">
      <c r="A10" s="31" t="s">
        <v>94</v>
      </c>
      <c r="B10" s="31" t="s">
        <v>95</v>
      </c>
      <c r="C10" s="31" t="s">
        <v>96</v>
      </c>
      <c r="D10" s="32">
        <v>412000</v>
      </c>
      <c r="E10" s="33">
        <v>9.1999999999999998E-2</v>
      </c>
      <c r="F10" s="32">
        <v>14650</v>
      </c>
      <c r="G10" s="31">
        <v>10</v>
      </c>
      <c r="H10" s="29">
        <v>47270</v>
      </c>
      <c r="I10" s="31" t="s">
        <v>97</v>
      </c>
      <c r="J10" s="31"/>
    </row>
    <row r="11" spans="1:10" x14ac:dyDescent="0.3">
      <c r="A11" s="31" t="s">
        <v>98</v>
      </c>
      <c r="B11" s="31" t="s">
        <v>99</v>
      </c>
      <c r="C11" s="31" t="s">
        <v>100</v>
      </c>
      <c r="D11" s="32">
        <v>38000</v>
      </c>
      <c r="E11" s="33">
        <v>0</v>
      </c>
      <c r="F11" s="32">
        <v>6334</v>
      </c>
      <c r="G11" s="31">
        <v>18</v>
      </c>
      <c r="H11" s="29">
        <v>46508</v>
      </c>
      <c r="I11" s="31" t="s">
        <v>101</v>
      </c>
      <c r="J11" s="31" t="s">
        <v>102</v>
      </c>
    </row>
    <row r="12" spans="1:10" x14ac:dyDescent="0.3">
      <c r="A12" s="31"/>
      <c r="B12" s="31"/>
      <c r="C12" s="31"/>
      <c r="D12" s="32"/>
      <c r="E12" s="33"/>
      <c r="F12" s="32"/>
      <c r="G12" s="31"/>
      <c r="H12" s="29"/>
      <c r="I12" s="31"/>
      <c r="J12" s="31"/>
    </row>
    <row r="13" spans="1:10" x14ac:dyDescent="0.3">
      <c r="A13" s="31"/>
      <c r="B13" s="31"/>
      <c r="C13" s="31"/>
      <c r="D13" s="32"/>
      <c r="E13" s="33"/>
      <c r="F13" s="32"/>
      <c r="G13" s="31"/>
      <c r="H13" s="29"/>
      <c r="I13" s="31"/>
      <c r="J13" s="31"/>
    </row>
    <row r="14" spans="1:10" x14ac:dyDescent="0.3">
      <c r="A14" s="31"/>
      <c r="B14" s="31"/>
      <c r="C14" s="31"/>
      <c r="D14" s="32"/>
      <c r="E14" s="33"/>
      <c r="F14" s="32"/>
      <c r="G14" s="31"/>
      <c r="H14" s="29"/>
      <c r="I14" s="31"/>
      <c r="J14" s="31"/>
    </row>
    <row r="15" spans="1:10" x14ac:dyDescent="0.3">
      <c r="A15" s="31"/>
      <c r="B15" s="31"/>
      <c r="C15" s="31"/>
      <c r="D15" s="32"/>
      <c r="E15" s="33"/>
      <c r="F15" s="32"/>
      <c r="G15" s="31"/>
      <c r="H15" s="29"/>
      <c r="I15" s="31"/>
      <c r="J15" s="31"/>
    </row>
    <row r="16" spans="1:10" x14ac:dyDescent="0.3">
      <c r="A16" s="31"/>
      <c r="B16" s="31"/>
      <c r="C16" s="31"/>
      <c r="D16" s="32"/>
      <c r="E16" s="33"/>
      <c r="F16" s="32"/>
      <c r="G16" s="31"/>
      <c r="H16" s="29"/>
      <c r="I16" s="31"/>
      <c r="J16" s="31"/>
    </row>
    <row r="17" spans="1:10" x14ac:dyDescent="0.3">
      <c r="A17" s="31"/>
      <c r="B17" s="31"/>
      <c r="C17" s="31"/>
      <c r="D17" s="32"/>
      <c r="E17" s="33"/>
      <c r="F17" s="32"/>
      <c r="G17" s="31"/>
      <c r="H17" s="29"/>
      <c r="I17" s="31"/>
      <c r="J17" s="31"/>
    </row>
    <row r="18" spans="1:10" x14ac:dyDescent="0.3">
      <c r="A18" s="31"/>
      <c r="B18" s="31"/>
      <c r="C18" s="31"/>
      <c r="D18" s="32"/>
      <c r="E18" s="33"/>
      <c r="F18" s="32"/>
      <c r="G18" s="31"/>
      <c r="H18" s="29"/>
      <c r="I18" s="31"/>
      <c r="J18" s="31"/>
    </row>
    <row r="19" spans="1:10" x14ac:dyDescent="0.3">
      <c r="A19" s="31"/>
      <c r="B19" s="31"/>
      <c r="C19" s="31"/>
      <c r="D19" s="32"/>
      <c r="E19" s="33"/>
      <c r="F19" s="32"/>
      <c r="G19" s="31"/>
      <c r="H19" s="29"/>
      <c r="I19" s="31"/>
      <c r="J19" s="31"/>
    </row>
    <row r="20" spans="1:10" x14ac:dyDescent="0.3">
      <c r="A20" s="31"/>
      <c r="B20" s="31"/>
      <c r="C20" s="31"/>
      <c r="D20" s="32"/>
      <c r="E20" s="33"/>
      <c r="F20" s="32"/>
      <c r="G20" s="31"/>
      <c r="H20" s="29"/>
      <c r="I20" s="31"/>
      <c r="J20" s="31"/>
    </row>
    <row r="21" spans="1:10" x14ac:dyDescent="0.3">
      <c r="A21" s="31"/>
      <c r="B21" s="31"/>
      <c r="C21" s="31"/>
      <c r="D21" s="32"/>
      <c r="E21" s="33"/>
      <c r="F21" s="32"/>
      <c r="G21" s="31"/>
      <c r="H21" s="29"/>
      <c r="I21" s="31"/>
      <c r="J21" s="31"/>
    </row>
    <row r="22" spans="1:10" x14ac:dyDescent="0.3">
      <c r="A22" s="31"/>
      <c r="B22" s="31"/>
      <c r="C22" s="31"/>
      <c r="D22" s="32"/>
      <c r="E22" s="33"/>
      <c r="F22" s="32"/>
      <c r="G22" s="31"/>
      <c r="H22" s="29"/>
      <c r="I22" s="31"/>
      <c r="J22" s="31"/>
    </row>
    <row r="23" spans="1:10" x14ac:dyDescent="0.3">
      <c r="A23" s="31"/>
      <c r="B23" s="31"/>
      <c r="C23" s="31"/>
      <c r="D23" s="32"/>
      <c r="E23" s="33"/>
      <c r="F23" s="32"/>
      <c r="G23" s="31"/>
      <c r="H23" s="29"/>
      <c r="I23" s="31"/>
      <c r="J23" s="31"/>
    </row>
    <row r="24" spans="1:10" x14ac:dyDescent="0.3">
      <c r="A24" s="31"/>
      <c r="B24" s="31"/>
      <c r="C24" s="31"/>
      <c r="D24" s="32"/>
      <c r="E24" s="33"/>
      <c r="F24" s="32"/>
      <c r="G24" s="31"/>
      <c r="H24" s="29"/>
      <c r="I24" s="31"/>
      <c r="J24" s="31"/>
    </row>
    <row r="25" spans="1:10" x14ac:dyDescent="0.3">
      <c r="A25" s="31"/>
      <c r="B25" s="31"/>
      <c r="C25" s="31"/>
      <c r="D25" s="32"/>
      <c r="E25" s="33"/>
      <c r="F25" s="32"/>
      <c r="G25" s="31"/>
      <c r="H25" s="29"/>
      <c r="I25" s="31"/>
      <c r="J25" s="31"/>
    </row>
    <row r="26" spans="1:10" x14ac:dyDescent="0.3">
      <c r="A26" s="31"/>
      <c r="B26" s="31"/>
      <c r="C26" s="31"/>
      <c r="D26" s="32"/>
      <c r="E26" s="33"/>
      <c r="F26" s="32"/>
      <c r="G26" s="31"/>
      <c r="H26" s="29"/>
      <c r="I26" s="31"/>
      <c r="J26" s="31"/>
    </row>
    <row r="27" spans="1:10" x14ac:dyDescent="0.3">
      <c r="A27" s="31"/>
      <c r="B27" s="31"/>
      <c r="C27" s="31"/>
      <c r="D27" s="32"/>
      <c r="E27" s="33"/>
      <c r="F27" s="32"/>
      <c r="G27" s="31"/>
      <c r="H27" s="29"/>
      <c r="I27" s="31"/>
      <c r="J27" s="31"/>
    </row>
    <row r="28" spans="1:10" x14ac:dyDescent="0.3">
      <c r="A28" s="31"/>
      <c r="B28" s="31"/>
      <c r="C28" s="31"/>
      <c r="D28" s="32"/>
      <c r="E28" s="33"/>
      <c r="F28" s="32"/>
      <c r="G28" s="31"/>
      <c r="H28" s="29"/>
      <c r="I28" s="31"/>
      <c r="J28" s="31"/>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Lists!$C$1:$C$8</xm:f>
          </x14:formula1>
          <xm:sqref>C9:C28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
  <sheetViews>
    <sheetView workbookViewId="0"/>
  </sheetViews>
  <sheetFormatPr defaultRowHeight="14.4" x14ac:dyDescent="0.3"/>
  <sheetData>
    <row r="1" spans="1:3" x14ac:dyDescent="0.3">
      <c r="C1" t="s">
        <v>91</v>
      </c>
    </row>
    <row r="2" spans="1:3" x14ac:dyDescent="0.3">
      <c r="A2" t="s">
        <v>103</v>
      </c>
      <c r="C2" t="s">
        <v>96</v>
      </c>
    </row>
    <row r="3" spans="1:3" x14ac:dyDescent="0.3">
      <c r="A3" t="s">
        <v>104</v>
      </c>
      <c r="C3" t="s">
        <v>105</v>
      </c>
    </row>
    <row r="4" spans="1:3" x14ac:dyDescent="0.3">
      <c r="A4" t="s">
        <v>106</v>
      </c>
      <c r="C4" t="s">
        <v>107</v>
      </c>
    </row>
    <row r="5" spans="1:3" x14ac:dyDescent="0.3">
      <c r="A5" t="s">
        <v>108</v>
      </c>
      <c r="C5" t="s">
        <v>109</v>
      </c>
    </row>
    <row r="6" spans="1:3" x14ac:dyDescent="0.3">
      <c r="A6" t="s">
        <v>110</v>
      </c>
      <c r="C6" t="s">
        <v>100</v>
      </c>
    </row>
    <row r="7" spans="1:3" x14ac:dyDescent="0.3">
      <c r="A7" t="s">
        <v>111</v>
      </c>
      <c r="C7" t="s">
        <v>112</v>
      </c>
    </row>
    <row r="8" spans="1:3" x14ac:dyDescent="0.3">
      <c r="A8" t="s">
        <v>113</v>
      </c>
      <c r="C8" t="s">
        <v>114</v>
      </c>
    </row>
    <row r="9" spans="1:3" x14ac:dyDescent="0.3">
      <c r="A9" t="s">
        <v>115</v>
      </c>
    </row>
    <row r="10" spans="1:3" x14ac:dyDescent="0.3">
      <c r="A10" t="s">
        <v>116</v>
      </c>
    </row>
    <row r="11" spans="1:3" x14ac:dyDescent="0.3">
      <c r="A11" t="s">
        <v>117</v>
      </c>
    </row>
    <row r="12" spans="1:3" x14ac:dyDescent="0.3">
      <c r="A12" t="s">
        <v>118</v>
      </c>
    </row>
    <row r="13" spans="1:3" x14ac:dyDescent="0.3">
      <c r="A13" t="s">
        <v>119</v>
      </c>
    </row>
    <row r="14" spans="1:3" x14ac:dyDescent="0.3">
      <c r="A14" t="s">
        <v>120</v>
      </c>
    </row>
    <row r="15" spans="1:3" x14ac:dyDescent="0.3">
      <c r="A15" t="s">
        <v>121</v>
      </c>
    </row>
    <row r="16" spans="1:3" x14ac:dyDescent="0.3">
      <c r="A16" t="s">
        <v>122</v>
      </c>
    </row>
    <row r="17" spans="1:1" x14ac:dyDescent="0.3">
      <c r="A17" t="s">
        <v>123</v>
      </c>
    </row>
    <row r="18" spans="1:1" x14ac:dyDescent="0.3">
      <c r="A18" t="s">
        <v>124</v>
      </c>
    </row>
    <row r="19" spans="1:1" x14ac:dyDescent="0.3">
      <c r="A19" t="s">
        <v>125</v>
      </c>
    </row>
    <row r="20" spans="1:1" x14ac:dyDescent="0.3">
      <c r="A20" t="s">
        <v>126</v>
      </c>
    </row>
    <row r="21" spans="1:1" x14ac:dyDescent="0.3">
      <c r="A21" t="s">
        <v>127</v>
      </c>
    </row>
    <row r="22" spans="1:1" x14ac:dyDescent="0.3">
      <c r="A22" t="s">
        <v>128</v>
      </c>
    </row>
    <row r="23" spans="1:1" x14ac:dyDescent="0.3">
      <c r="A23" t="s">
        <v>129</v>
      </c>
    </row>
    <row r="24" spans="1:1" x14ac:dyDescent="0.3">
      <c r="A24" t="s">
        <v>130</v>
      </c>
    </row>
    <row r="25" spans="1:1" x14ac:dyDescent="0.3">
      <c r="A25" t="s">
        <v>131</v>
      </c>
    </row>
    <row r="26" spans="1:1" x14ac:dyDescent="0.3">
      <c r="A26" t="s">
        <v>132</v>
      </c>
    </row>
    <row r="27" spans="1:1" x14ac:dyDescent="0.3">
      <c r="A27" t="s">
        <v>133</v>
      </c>
    </row>
    <row r="28" spans="1:1" x14ac:dyDescent="0.3">
      <c r="A28" t="s">
        <v>134</v>
      </c>
    </row>
    <row r="29" spans="1:1" x14ac:dyDescent="0.3">
      <c r="A29" t="s">
        <v>135</v>
      </c>
    </row>
    <row r="30" spans="1:1" x14ac:dyDescent="0.3">
      <c r="A30" t="s">
        <v>136</v>
      </c>
    </row>
    <row r="31" spans="1:1" x14ac:dyDescent="0.3">
      <c r="A31" t="s">
        <v>137</v>
      </c>
    </row>
    <row r="32" spans="1:1" x14ac:dyDescent="0.3">
      <c r="A32" t="s">
        <v>138</v>
      </c>
    </row>
    <row r="33" spans="1:1" x14ac:dyDescent="0.3">
      <c r="A33" t="s">
        <v>139</v>
      </c>
    </row>
    <row r="34" spans="1:1" x14ac:dyDescent="0.3">
      <c r="A34" t="s">
        <v>140</v>
      </c>
    </row>
    <row r="35" spans="1:1" x14ac:dyDescent="0.3">
      <c r="A35" t="s">
        <v>141</v>
      </c>
    </row>
    <row r="36" spans="1:1" x14ac:dyDescent="0.3">
      <c r="A36" t="s">
        <v>142</v>
      </c>
    </row>
    <row r="37" spans="1:1" x14ac:dyDescent="0.3">
      <c r="A37" t="s">
        <v>143</v>
      </c>
    </row>
    <row r="38" spans="1:1" x14ac:dyDescent="0.3">
      <c r="A38" t="s">
        <v>144</v>
      </c>
    </row>
    <row r="39" spans="1:1" x14ac:dyDescent="0.3">
      <c r="A39" t="s">
        <v>145</v>
      </c>
    </row>
    <row r="40" spans="1:1" x14ac:dyDescent="0.3">
      <c r="A40" t="s">
        <v>146</v>
      </c>
    </row>
    <row r="41" spans="1:1" x14ac:dyDescent="0.3">
      <c r="A41" t="s">
        <v>147</v>
      </c>
    </row>
    <row r="42" spans="1:1" x14ac:dyDescent="0.3">
      <c r="A42" t="s">
        <v>148</v>
      </c>
    </row>
    <row r="43" spans="1:1" x14ac:dyDescent="0.3">
      <c r="A43" t="s">
        <v>149</v>
      </c>
    </row>
    <row r="44" spans="1:1" x14ac:dyDescent="0.3">
      <c r="A44" t="s">
        <v>150</v>
      </c>
    </row>
    <row r="45" spans="1:1" x14ac:dyDescent="0.3">
      <c r="A45" t="s">
        <v>151</v>
      </c>
    </row>
    <row r="46" spans="1:1" x14ac:dyDescent="0.3">
      <c r="A46" t="s">
        <v>152</v>
      </c>
    </row>
    <row r="47" spans="1:1" x14ac:dyDescent="0.3">
      <c r="A47" t="s">
        <v>153</v>
      </c>
    </row>
    <row r="48" spans="1:1" x14ac:dyDescent="0.3">
      <c r="A48" t="s">
        <v>154</v>
      </c>
    </row>
    <row r="49" spans="1:1" x14ac:dyDescent="0.3">
      <c r="A49" t="s">
        <v>155</v>
      </c>
    </row>
    <row r="50" spans="1:1" x14ac:dyDescent="0.3">
      <c r="A50" t="s">
        <v>156</v>
      </c>
    </row>
    <row r="51" spans="1:1" x14ac:dyDescent="0.3">
      <c r="A51" t="s">
        <v>157</v>
      </c>
    </row>
    <row r="52" spans="1:1" x14ac:dyDescent="0.3">
      <c r="A52" t="s">
        <v>158</v>
      </c>
    </row>
    <row r="53" spans="1:1" x14ac:dyDescent="0.3">
      <c r="A53" t="s">
        <v>159</v>
      </c>
    </row>
    <row r="54" spans="1:1" x14ac:dyDescent="0.3">
      <c r="A54" t="s">
        <v>160</v>
      </c>
    </row>
    <row r="55" spans="1:1" x14ac:dyDescent="0.3">
      <c r="A55" t="s">
        <v>161</v>
      </c>
    </row>
    <row r="56" spans="1:1" x14ac:dyDescent="0.3">
      <c r="A56" t="s">
        <v>162</v>
      </c>
    </row>
    <row r="57" spans="1:1" x14ac:dyDescent="0.3">
      <c r="A57" t="s">
        <v>163</v>
      </c>
    </row>
    <row r="58" spans="1:1" x14ac:dyDescent="0.3">
      <c r="A58" t="s">
        <v>164</v>
      </c>
    </row>
    <row r="59" spans="1:1" x14ac:dyDescent="0.3">
      <c r="A59" t="s">
        <v>165</v>
      </c>
    </row>
    <row r="60" spans="1:1" x14ac:dyDescent="0.3">
      <c r="A60" t="s">
        <v>166</v>
      </c>
    </row>
    <row r="61" spans="1:1" x14ac:dyDescent="0.3">
      <c r="A61" t="s">
        <v>167</v>
      </c>
    </row>
    <row r="62" spans="1:1" x14ac:dyDescent="0.3">
      <c r="A62" t="s">
        <v>168</v>
      </c>
    </row>
    <row r="63" spans="1:1" x14ac:dyDescent="0.3">
      <c r="A63" t="s">
        <v>169</v>
      </c>
    </row>
    <row r="64" spans="1:1" x14ac:dyDescent="0.3">
      <c r="A64" t="s">
        <v>170</v>
      </c>
    </row>
    <row r="65" spans="1:1" x14ac:dyDescent="0.3">
      <c r="A65" t="s">
        <v>171</v>
      </c>
    </row>
    <row r="66" spans="1:1" x14ac:dyDescent="0.3">
      <c r="A66" t="s">
        <v>172</v>
      </c>
    </row>
    <row r="67" spans="1:1" x14ac:dyDescent="0.3">
      <c r="A67" t="s">
        <v>173</v>
      </c>
    </row>
    <row r="68" spans="1:1" x14ac:dyDescent="0.3">
      <c r="A68" t="s">
        <v>174</v>
      </c>
    </row>
    <row r="69" spans="1:1" x14ac:dyDescent="0.3">
      <c r="A69" t="s">
        <v>175</v>
      </c>
    </row>
    <row r="70" spans="1:1" x14ac:dyDescent="0.3">
      <c r="A70" t="s">
        <v>176</v>
      </c>
    </row>
    <row r="71" spans="1:1" x14ac:dyDescent="0.3">
      <c r="A71" t="s">
        <v>177</v>
      </c>
    </row>
    <row r="72" spans="1:1" x14ac:dyDescent="0.3">
      <c r="A72" t="s">
        <v>178</v>
      </c>
    </row>
    <row r="73" spans="1:1" x14ac:dyDescent="0.3">
      <c r="A73" t="s">
        <v>179</v>
      </c>
    </row>
    <row r="74" spans="1:1" x14ac:dyDescent="0.3">
      <c r="A74" t="s">
        <v>180</v>
      </c>
    </row>
    <row r="75" spans="1:1" x14ac:dyDescent="0.3">
      <c r="A75" t="s">
        <v>181</v>
      </c>
    </row>
    <row r="76" spans="1:1" x14ac:dyDescent="0.3">
      <c r="A76" t="s">
        <v>182</v>
      </c>
    </row>
    <row r="77" spans="1:1" x14ac:dyDescent="0.3">
      <c r="A77" t="s">
        <v>183</v>
      </c>
    </row>
    <row r="78" spans="1:1" x14ac:dyDescent="0.3">
      <c r="A78" t="s">
        <v>184</v>
      </c>
    </row>
    <row r="79" spans="1:1" x14ac:dyDescent="0.3">
      <c r="A79" t="s">
        <v>185</v>
      </c>
    </row>
    <row r="80" spans="1:1" x14ac:dyDescent="0.3">
      <c r="A80" t="s">
        <v>186</v>
      </c>
    </row>
    <row r="81" spans="1:1" x14ac:dyDescent="0.3">
      <c r="A81" t="s">
        <v>187</v>
      </c>
    </row>
    <row r="82" spans="1:1" x14ac:dyDescent="0.3">
      <c r="A82" t="s">
        <v>188</v>
      </c>
    </row>
    <row r="83" spans="1:1" x14ac:dyDescent="0.3">
      <c r="A83" t="s">
        <v>189</v>
      </c>
    </row>
    <row r="84" spans="1:1" x14ac:dyDescent="0.3">
      <c r="A84" t="s">
        <v>190</v>
      </c>
    </row>
    <row r="85" spans="1:1" x14ac:dyDescent="0.3">
      <c r="A85" t="s">
        <v>191</v>
      </c>
    </row>
    <row r="86" spans="1:1" x14ac:dyDescent="0.3">
      <c r="A86" t="s">
        <v>192</v>
      </c>
    </row>
    <row r="87" spans="1:1" x14ac:dyDescent="0.3">
      <c r="A87" t="s">
        <v>193</v>
      </c>
    </row>
    <row r="88" spans="1:1" x14ac:dyDescent="0.3">
      <c r="A88" t="s">
        <v>194</v>
      </c>
    </row>
    <row r="89" spans="1:1" x14ac:dyDescent="0.3">
      <c r="A89" t="s">
        <v>195</v>
      </c>
    </row>
    <row r="90" spans="1:1" x14ac:dyDescent="0.3">
      <c r="A90" t="s">
        <v>196</v>
      </c>
    </row>
    <row r="91" spans="1:1" x14ac:dyDescent="0.3">
      <c r="A91" t="s">
        <v>197</v>
      </c>
    </row>
    <row r="92" spans="1:1" x14ac:dyDescent="0.3">
      <c r="A92" t="s">
        <v>198</v>
      </c>
    </row>
    <row r="93" spans="1:1" x14ac:dyDescent="0.3">
      <c r="A93" t="s">
        <v>199</v>
      </c>
    </row>
    <row r="94" spans="1:1" x14ac:dyDescent="0.3">
      <c r="A94" t="s">
        <v>200</v>
      </c>
    </row>
    <row r="95" spans="1:1" x14ac:dyDescent="0.3">
      <c r="A95" t="s">
        <v>201</v>
      </c>
    </row>
    <row r="96" spans="1:1" x14ac:dyDescent="0.3">
      <c r="A96" t="s">
        <v>202</v>
      </c>
    </row>
    <row r="97" spans="1:1" x14ac:dyDescent="0.3">
      <c r="A97" t="s">
        <v>203</v>
      </c>
    </row>
    <row r="98" spans="1:1" x14ac:dyDescent="0.3">
      <c r="A98" t="s">
        <v>204</v>
      </c>
    </row>
    <row r="99" spans="1:1" x14ac:dyDescent="0.3">
      <c r="A99" t="s">
        <v>205</v>
      </c>
    </row>
    <row r="100" spans="1:1" x14ac:dyDescent="0.3">
      <c r="A100" t="s">
        <v>206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How to use</vt:lpstr>
      <vt:lpstr>Loan</vt:lpstr>
      <vt:lpstr>Schedule</vt:lpstr>
      <vt:lpstr>All loans</vt:lpstr>
      <vt:lpstr>Lists</vt:lpstr>
      <vt:lpstr>Schedule!Print_Titles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Loan &amp; EMI Tracker with Prepayment (Excel)</dc:title>
  <dc:subject>Free Excel loan tracker: EMI, month-by-month amortisation schedule, the effect of a one-time or monthly prepayment on interest and tenure, paid EMIs, and a list of all your loans.</dc:subject>
  <dc:creator>Nivesh Sahayak</dc:creator>
  <cp:keywords>Toolkit by GroupChatOn; Designed &amp; Developed by: Nivesh Sahayak</cp:keywords>
  <dc:description>Loan &amp; EMI Tracker with Prepayment (Excel). From Toolkit by GroupChatOn (https://toolkit.groupchaton.com). Designed &amp; Developed by: Nivesh Sahayak (https://www.niveshsahayak.in/)</dc:description>
  <cp:lastModifiedBy>Nivesh Sahayak</cp:lastModifiedBy>
  <dcterms:created xsi:type="dcterms:W3CDTF">2026-11-02T18:21:56Z</dcterms:created>
  <dcterms:modified xsi:type="dcterms:W3CDTF">2026-11-02T18:22:53Z</dcterms:modified>
  <cp:category>Home &amp; Personal Finance</cp:category>
</cp:coreProperties>
</file>