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ClaudeAi\GroupChatOn\toolkit-groupchaton\files\"/>
    </mc:Choice>
  </mc:AlternateContent>
  <xr:revisionPtr revIDLastSave="0" documentId="13_ncr:1_{26C84ED9-EF37-4A61-9A68-345746A240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w to use" sheetId="1" r:id="rId1"/>
    <sheet name="Settings" sheetId="2" r:id="rId2"/>
    <sheet name="Plan" sheetId="3" r:id="rId3"/>
    <sheet name="Holidays" sheetId="4" r:id="rId4"/>
    <sheet name="Summary" sheetId="5" r:id="rId5"/>
    <sheet name="Lists" sheetId="6" state="hidden" r:id="rId6"/>
  </sheets>
  <definedNames>
    <definedName name="_xlnm.Print_Area" localSheetId="2">Plan!$A$1:$AN$155</definedName>
    <definedName name="_xlnm.Print_Titles" localSheetId="2">Plan!$5:$5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5" l="1"/>
  <c r="B9" i="5"/>
  <c r="B4" i="5"/>
  <c r="B3" i="5"/>
  <c r="AR155" i="3"/>
  <c r="AQ155" i="3"/>
  <c r="AO155" i="3"/>
  <c r="I155" i="3"/>
  <c r="G155" i="3"/>
  <c r="AP155" i="3" s="1"/>
  <c r="O155" i="3" s="1"/>
  <c r="AR154" i="3"/>
  <c r="AQ154" i="3"/>
  <c r="AO154" i="3"/>
  <c r="AM154" i="3"/>
  <c r="AK154" i="3"/>
  <c r="AD154" i="3"/>
  <c r="X154" i="3"/>
  <c r="T154" i="3"/>
  <c r="L154" i="3"/>
  <c r="I154" i="3"/>
  <c r="G154" i="3"/>
  <c r="AP154" i="3" s="1"/>
  <c r="Q154" i="3" s="1"/>
  <c r="AR153" i="3"/>
  <c r="AQ153" i="3"/>
  <c r="AO153" i="3"/>
  <c r="I153" i="3"/>
  <c r="G153" i="3"/>
  <c r="AP153" i="3" s="1"/>
  <c r="AA153" i="3" s="1"/>
  <c r="AR152" i="3"/>
  <c r="AQ152" i="3"/>
  <c r="AO152" i="3"/>
  <c r="I152" i="3"/>
  <c r="G152" i="3"/>
  <c r="AP152" i="3" s="1"/>
  <c r="AK152" i="3" s="1"/>
  <c r="AR151" i="3"/>
  <c r="AQ151" i="3"/>
  <c r="AO151" i="3"/>
  <c r="I151" i="3"/>
  <c r="G151" i="3"/>
  <c r="AP151" i="3" s="1"/>
  <c r="O151" i="3" s="1"/>
  <c r="AR150" i="3"/>
  <c r="AQ150" i="3"/>
  <c r="AO150" i="3"/>
  <c r="I150" i="3"/>
  <c r="G150" i="3"/>
  <c r="AP150" i="3" s="1"/>
  <c r="W150" i="3" s="1"/>
  <c r="AR149" i="3"/>
  <c r="AQ149" i="3"/>
  <c r="AO149" i="3"/>
  <c r="I149" i="3"/>
  <c r="G149" i="3"/>
  <c r="AP149" i="3" s="1"/>
  <c r="AF149" i="3" s="1"/>
  <c r="AS148" i="3"/>
  <c r="AR148" i="3"/>
  <c r="AQ148" i="3"/>
  <c r="AO148" i="3"/>
  <c r="AA148" i="3"/>
  <c r="Y148" i="3"/>
  <c r="N148" i="3"/>
  <c r="M148" i="3"/>
  <c r="L148" i="3"/>
  <c r="I148" i="3"/>
  <c r="G148" i="3"/>
  <c r="AP148" i="3" s="1"/>
  <c r="AR147" i="3"/>
  <c r="AQ147" i="3"/>
  <c r="AO147" i="3"/>
  <c r="I147" i="3"/>
  <c r="G147" i="3"/>
  <c r="AP147" i="3" s="1"/>
  <c r="AR146" i="3"/>
  <c r="AQ146" i="3"/>
  <c r="AO146" i="3"/>
  <c r="I146" i="3"/>
  <c r="G146" i="3"/>
  <c r="AP146" i="3" s="1"/>
  <c r="K146" i="3" s="1"/>
  <c r="AR145" i="3"/>
  <c r="AQ145" i="3"/>
  <c r="AO145" i="3"/>
  <c r="I145" i="3"/>
  <c r="G145" i="3"/>
  <c r="AP145" i="3" s="1"/>
  <c r="AD145" i="3" s="1"/>
  <c r="AR144" i="3"/>
  <c r="AQ144" i="3"/>
  <c r="AO144" i="3"/>
  <c r="I144" i="3"/>
  <c r="G144" i="3"/>
  <c r="AP144" i="3" s="1"/>
  <c r="AR143" i="3"/>
  <c r="AQ143" i="3"/>
  <c r="AO143" i="3"/>
  <c r="I143" i="3"/>
  <c r="G143" i="3"/>
  <c r="AP143" i="3" s="1"/>
  <c r="AM143" i="3" s="1"/>
  <c r="AR142" i="3"/>
  <c r="AQ142" i="3"/>
  <c r="AO142" i="3"/>
  <c r="I142" i="3"/>
  <c r="G142" i="3"/>
  <c r="AP142" i="3" s="1"/>
  <c r="AE142" i="3" s="1"/>
  <c r="AR141" i="3"/>
  <c r="AQ141" i="3"/>
  <c r="AO141" i="3"/>
  <c r="I141" i="3"/>
  <c r="G141" i="3"/>
  <c r="AP141" i="3" s="1"/>
  <c r="AJ141" i="3" s="1"/>
  <c r="AR140" i="3"/>
  <c r="AQ140" i="3"/>
  <c r="AP140" i="3"/>
  <c r="M140" i="3" s="1"/>
  <c r="AO140" i="3"/>
  <c r="AL140" i="3"/>
  <c r="I140" i="3"/>
  <c r="G140" i="3"/>
  <c r="AR139" i="3"/>
  <c r="AQ139" i="3"/>
  <c r="AO139" i="3"/>
  <c r="I139" i="3"/>
  <c r="G139" i="3"/>
  <c r="AP139" i="3" s="1"/>
  <c r="AR138" i="3"/>
  <c r="AQ138" i="3"/>
  <c r="AO138" i="3"/>
  <c r="I138" i="3"/>
  <c r="G138" i="3"/>
  <c r="AP138" i="3" s="1"/>
  <c r="AI138" i="3" s="1"/>
  <c r="AR137" i="3"/>
  <c r="AQ137" i="3"/>
  <c r="AO137" i="3"/>
  <c r="I137" i="3"/>
  <c r="G137" i="3"/>
  <c r="AP137" i="3" s="1"/>
  <c r="AR136" i="3"/>
  <c r="AQ136" i="3"/>
  <c r="AO136" i="3"/>
  <c r="I136" i="3"/>
  <c r="G136" i="3"/>
  <c r="AP136" i="3" s="1"/>
  <c r="AD136" i="3" s="1"/>
  <c r="AR135" i="3"/>
  <c r="AQ135" i="3"/>
  <c r="AO135" i="3"/>
  <c r="I135" i="3"/>
  <c r="G135" i="3"/>
  <c r="AP135" i="3" s="1"/>
  <c r="AF135" i="3" s="1"/>
  <c r="AR134" i="3"/>
  <c r="AQ134" i="3"/>
  <c r="AO134" i="3"/>
  <c r="I134" i="3"/>
  <c r="G134" i="3"/>
  <c r="AP134" i="3" s="1"/>
  <c r="AR133" i="3"/>
  <c r="AQ133" i="3"/>
  <c r="AO133" i="3"/>
  <c r="I133" i="3"/>
  <c r="G133" i="3"/>
  <c r="AP133" i="3" s="1"/>
  <c r="AJ133" i="3" s="1"/>
  <c r="AR132" i="3"/>
  <c r="AQ132" i="3"/>
  <c r="AO132" i="3"/>
  <c r="I132" i="3"/>
  <c r="G132" i="3"/>
  <c r="AP132" i="3" s="1"/>
  <c r="AR131" i="3"/>
  <c r="AQ131" i="3"/>
  <c r="AO131" i="3"/>
  <c r="I131" i="3"/>
  <c r="G131" i="3"/>
  <c r="AP131" i="3" s="1"/>
  <c r="AR130" i="3"/>
  <c r="AQ130" i="3"/>
  <c r="AO130" i="3"/>
  <c r="I130" i="3"/>
  <c r="G130" i="3"/>
  <c r="AP130" i="3" s="1"/>
  <c r="AK130" i="3" s="1"/>
  <c r="AR129" i="3"/>
  <c r="AQ129" i="3"/>
  <c r="AO129" i="3"/>
  <c r="I129" i="3"/>
  <c r="G129" i="3"/>
  <c r="AP129" i="3" s="1"/>
  <c r="AN129" i="3" s="1"/>
  <c r="AR128" i="3"/>
  <c r="AQ128" i="3"/>
  <c r="AO128" i="3"/>
  <c r="I128" i="3"/>
  <c r="G128" i="3"/>
  <c r="AP128" i="3" s="1"/>
  <c r="AG128" i="3" s="1"/>
  <c r="AR127" i="3"/>
  <c r="AQ127" i="3"/>
  <c r="AO127" i="3"/>
  <c r="AF127" i="3"/>
  <c r="I127" i="3"/>
  <c r="G127" i="3"/>
  <c r="AP127" i="3" s="1"/>
  <c r="AR126" i="3"/>
  <c r="AQ126" i="3"/>
  <c r="AO126" i="3"/>
  <c r="I126" i="3"/>
  <c r="G126" i="3"/>
  <c r="AP126" i="3" s="1"/>
  <c r="AR125" i="3"/>
  <c r="AQ125" i="3"/>
  <c r="AO125" i="3"/>
  <c r="I125" i="3"/>
  <c r="G125" i="3"/>
  <c r="AP125" i="3" s="1"/>
  <c r="X125" i="3" s="1"/>
  <c r="AR124" i="3"/>
  <c r="AQ124" i="3"/>
  <c r="AO124" i="3"/>
  <c r="I124" i="3"/>
  <c r="G124" i="3"/>
  <c r="AP124" i="3" s="1"/>
  <c r="AR123" i="3"/>
  <c r="AQ123" i="3"/>
  <c r="AO123" i="3"/>
  <c r="I123" i="3"/>
  <c r="G123" i="3"/>
  <c r="AP123" i="3" s="1"/>
  <c r="AR122" i="3"/>
  <c r="AQ122" i="3"/>
  <c r="AO122" i="3"/>
  <c r="I122" i="3"/>
  <c r="G122" i="3"/>
  <c r="AP122" i="3" s="1"/>
  <c r="W122" i="3" s="1"/>
  <c r="AR121" i="3"/>
  <c r="AQ121" i="3"/>
  <c r="AO121" i="3"/>
  <c r="I121" i="3"/>
  <c r="G121" i="3"/>
  <c r="AP121" i="3" s="1"/>
  <c r="AR120" i="3"/>
  <c r="AQ120" i="3"/>
  <c r="AO120" i="3"/>
  <c r="I120" i="3"/>
  <c r="G120" i="3"/>
  <c r="AP120" i="3" s="1"/>
  <c r="AR119" i="3"/>
  <c r="AQ119" i="3"/>
  <c r="AO119" i="3"/>
  <c r="I119" i="3"/>
  <c r="G119" i="3"/>
  <c r="AP119" i="3" s="1"/>
  <c r="Q119" i="3" s="1"/>
  <c r="AR118" i="3"/>
  <c r="AQ118" i="3"/>
  <c r="AO118" i="3"/>
  <c r="I118" i="3"/>
  <c r="G118" i="3"/>
  <c r="AP118" i="3" s="1"/>
  <c r="AR117" i="3"/>
  <c r="AQ117" i="3"/>
  <c r="AO117" i="3"/>
  <c r="I117" i="3"/>
  <c r="G117" i="3"/>
  <c r="AP117" i="3" s="1"/>
  <c r="AH117" i="3" s="1"/>
  <c r="AR116" i="3"/>
  <c r="AQ116" i="3"/>
  <c r="AO116" i="3"/>
  <c r="O116" i="3"/>
  <c r="I116" i="3"/>
  <c r="G116" i="3"/>
  <c r="AP116" i="3" s="1"/>
  <c r="T116" i="3" s="1"/>
  <c r="AR115" i="3"/>
  <c r="AQ115" i="3"/>
  <c r="AO115" i="3"/>
  <c r="I115" i="3"/>
  <c r="G115" i="3"/>
  <c r="AP115" i="3" s="1"/>
  <c r="AR114" i="3"/>
  <c r="AQ114" i="3"/>
  <c r="AO114" i="3"/>
  <c r="I114" i="3"/>
  <c r="G114" i="3"/>
  <c r="AP114" i="3" s="1"/>
  <c r="AR113" i="3"/>
  <c r="AQ113" i="3"/>
  <c r="AO113" i="3"/>
  <c r="I113" i="3"/>
  <c r="G113" i="3"/>
  <c r="AP113" i="3" s="1"/>
  <c r="AR112" i="3"/>
  <c r="AQ112" i="3"/>
  <c r="AO112" i="3"/>
  <c r="I112" i="3"/>
  <c r="G112" i="3"/>
  <c r="AP112" i="3" s="1"/>
  <c r="AE112" i="3" s="1"/>
  <c r="AR111" i="3"/>
  <c r="AQ111" i="3"/>
  <c r="AO111" i="3"/>
  <c r="I111" i="3"/>
  <c r="G111" i="3"/>
  <c r="AP111" i="3" s="1"/>
  <c r="AR110" i="3"/>
  <c r="AQ110" i="3"/>
  <c r="AO110" i="3"/>
  <c r="I110" i="3"/>
  <c r="G110" i="3"/>
  <c r="AP110" i="3" s="1"/>
  <c r="L110" i="3" s="1"/>
  <c r="AR109" i="3"/>
  <c r="AQ109" i="3"/>
  <c r="AO109" i="3"/>
  <c r="I109" i="3"/>
  <c r="G109" i="3"/>
  <c r="AP109" i="3" s="1"/>
  <c r="AG109" i="3" s="1"/>
  <c r="AR108" i="3"/>
  <c r="AQ108" i="3"/>
  <c r="AO108" i="3"/>
  <c r="I108" i="3"/>
  <c r="G108" i="3"/>
  <c r="AP108" i="3" s="1"/>
  <c r="AR107" i="3"/>
  <c r="AQ107" i="3"/>
  <c r="AP107" i="3"/>
  <c r="AF107" i="3" s="1"/>
  <c r="AO107" i="3"/>
  <c r="I107" i="3"/>
  <c r="G107" i="3"/>
  <c r="AR106" i="3"/>
  <c r="AQ106" i="3"/>
  <c r="AO106" i="3"/>
  <c r="I106" i="3"/>
  <c r="G106" i="3"/>
  <c r="AP106" i="3" s="1"/>
  <c r="R106" i="3" s="1"/>
  <c r="AR105" i="3"/>
  <c r="AQ105" i="3"/>
  <c r="AO105" i="3"/>
  <c r="I105" i="3"/>
  <c r="G105" i="3"/>
  <c r="AP105" i="3" s="1"/>
  <c r="W105" i="3" s="1"/>
  <c r="AR104" i="3"/>
  <c r="AQ104" i="3"/>
  <c r="AO104" i="3"/>
  <c r="I104" i="3"/>
  <c r="G104" i="3"/>
  <c r="AP104" i="3" s="1"/>
  <c r="AR103" i="3"/>
  <c r="AQ103" i="3"/>
  <c r="AO103" i="3"/>
  <c r="AF103" i="3"/>
  <c r="AC103" i="3"/>
  <c r="AB103" i="3"/>
  <c r="P103" i="3"/>
  <c r="L103" i="3"/>
  <c r="K103" i="3"/>
  <c r="I103" i="3"/>
  <c r="G103" i="3"/>
  <c r="AP103" i="3" s="1"/>
  <c r="N103" i="3" s="1"/>
  <c r="AR102" i="3"/>
  <c r="AQ102" i="3"/>
  <c r="AO102" i="3"/>
  <c r="I102" i="3"/>
  <c r="G102" i="3"/>
  <c r="AP102" i="3" s="1"/>
  <c r="AN102" i="3" s="1"/>
  <c r="AR101" i="3"/>
  <c r="AQ101" i="3"/>
  <c r="AP101" i="3"/>
  <c r="AO101" i="3"/>
  <c r="I101" i="3"/>
  <c r="G101" i="3"/>
  <c r="AR100" i="3"/>
  <c r="AQ100" i="3"/>
  <c r="AO100" i="3"/>
  <c r="AI100" i="3"/>
  <c r="I100" i="3"/>
  <c r="G100" i="3"/>
  <c r="AP100" i="3" s="1"/>
  <c r="V100" i="3" s="1"/>
  <c r="AR99" i="3"/>
  <c r="AQ99" i="3"/>
  <c r="AO99" i="3"/>
  <c r="I99" i="3"/>
  <c r="G99" i="3"/>
  <c r="AP99" i="3" s="1"/>
  <c r="V99" i="3" s="1"/>
  <c r="AR98" i="3"/>
  <c r="AQ98" i="3"/>
  <c r="AO98" i="3"/>
  <c r="I98" i="3"/>
  <c r="G98" i="3"/>
  <c r="AP98" i="3" s="1"/>
  <c r="AR97" i="3"/>
  <c r="AQ97" i="3"/>
  <c r="AO97" i="3"/>
  <c r="I97" i="3"/>
  <c r="G97" i="3"/>
  <c r="AP97" i="3" s="1"/>
  <c r="AA97" i="3" s="1"/>
  <c r="AR96" i="3"/>
  <c r="AQ96" i="3"/>
  <c r="AP96" i="3"/>
  <c r="L96" i="3" s="1"/>
  <c r="AO96" i="3"/>
  <c r="I96" i="3"/>
  <c r="G96" i="3"/>
  <c r="AR95" i="3"/>
  <c r="AQ95" i="3"/>
  <c r="AO95" i="3"/>
  <c r="I95" i="3"/>
  <c r="G95" i="3"/>
  <c r="AP95" i="3" s="1"/>
  <c r="AR94" i="3"/>
  <c r="AQ94" i="3"/>
  <c r="AO94" i="3"/>
  <c r="I94" i="3"/>
  <c r="G94" i="3"/>
  <c r="AP94" i="3" s="1"/>
  <c r="AH94" i="3" s="1"/>
  <c r="AR93" i="3"/>
  <c r="AQ93" i="3"/>
  <c r="AO93" i="3"/>
  <c r="I93" i="3"/>
  <c r="G93" i="3"/>
  <c r="AP93" i="3" s="1"/>
  <c r="P93" i="3" s="1"/>
  <c r="AR92" i="3"/>
  <c r="AQ92" i="3"/>
  <c r="AO92" i="3"/>
  <c r="I92" i="3"/>
  <c r="G92" i="3"/>
  <c r="AP92" i="3" s="1"/>
  <c r="AR91" i="3"/>
  <c r="AQ91" i="3"/>
  <c r="AO91" i="3"/>
  <c r="I91" i="3"/>
  <c r="G91" i="3"/>
  <c r="AP91" i="3" s="1"/>
  <c r="AD91" i="3" s="1"/>
  <c r="AR90" i="3"/>
  <c r="AQ90" i="3"/>
  <c r="AO90" i="3"/>
  <c r="I90" i="3"/>
  <c r="G90" i="3"/>
  <c r="AP90" i="3" s="1"/>
  <c r="AR89" i="3"/>
  <c r="AQ89" i="3"/>
  <c r="AO89" i="3"/>
  <c r="I89" i="3"/>
  <c r="G89" i="3"/>
  <c r="AP89" i="3" s="1"/>
  <c r="AN89" i="3" s="1"/>
  <c r="AR88" i="3"/>
  <c r="AQ88" i="3"/>
  <c r="AO88" i="3"/>
  <c r="I88" i="3"/>
  <c r="G88" i="3"/>
  <c r="AP88" i="3" s="1"/>
  <c r="AM88" i="3" s="1"/>
  <c r="AR87" i="3"/>
  <c r="AQ87" i="3"/>
  <c r="AP87" i="3"/>
  <c r="AL87" i="3" s="1"/>
  <c r="AO87" i="3"/>
  <c r="I87" i="3"/>
  <c r="G87" i="3"/>
  <c r="AR86" i="3"/>
  <c r="AQ86" i="3"/>
  <c r="AO86" i="3"/>
  <c r="I86" i="3"/>
  <c r="G86" i="3"/>
  <c r="AP86" i="3" s="1"/>
  <c r="AE86" i="3" s="1"/>
  <c r="AR85" i="3"/>
  <c r="AQ85" i="3"/>
  <c r="AO85" i="3"/>
  <c r="I85" i="3"/>
  <c r="G85" i="3"/>
  <c r="AP85" i="3" s="1"/>
  <c r="AR84" i="3"/>
  <c r="AQ84" i="3"/>
  <c r="AO84" i="3"/>
  <c r="AN84" i="3"/>
  <c r="AM84" i="3"/>
  <c r="AL84" i="3"/>
  <c r="AJ84" i="3"/>
  <c r="AD84" i="3"/>
  <c r="I84" i="3"/>
  <c r="G84" i="3"/>
  <c r="AP84" i="3" s="1"/>
  <c r="AE84" i="3" s="1"/>
  <c r="AR83" i="3"/>
  <c r="AQ83" i="3"/>
  <c r="AP83" i="3"/>
  <c r="AJ83" i="3" s="1"/>
  <c r="AO83" i="3"/>
  <c r="I83" i="3"/>
  <c r="G83" i="3"/>
  <c r="AR82" i="3"/>
  <c r="AQ82" i="3"/>
  <c r="AO82" i="3"/>
  <c r="I82" i="3"/>
  <c r="G82" i="3"/>
  <c r="AP82" i="3" s="1"/>
  <c r="AS82" i="3" s="1"/>
  <c r="AR81" i="3"/>
  <c r="AQ81" i="3"/>
  <c r="AP81" i="3"/>
  <c r="AF81" i="3" s="1"/>
  <c r="AO81" i="3"/>
  <c r="I81" i="3"/>
  <c r="G81" i="3"/>
  <c r="AR80" i="3"/>
  <c r="AQ80" i="3"/>
  <c r="AO80" i="3"/>
  <c r="I80" i="3"/>
  <c r="G80" i="3"/>
  <c r="AP80" i="3" s="1"/>
  <c r="AI80" i="3" s="1"/>
  <c r="AR79" i="3"/>
  <c r="AQ79" i="3"/>
  <c r="AO79" i="3"/>
  <c r="I79" i="3"/>
  <c r="G79" i="3"/>
  <c r="AP79" i="3" s="1"/>
  <c r="N79" i="3" s="1"/>
  <c r="AR78" i="3"/>
  <c r="AQ78" i="3"/>
  <c r="AO78" i="3"/>
  <c r="I78" i="3"/>
  <c r="G78" i="3"/>
  <c r="AP78" i="3" s="1"/>
  <c r="AB78" i="3" s="1"/>
  <c r="AR77" i="3"/>
  <c r="AQ77" i="3"/>
  <c r="AO77" i="3"/>
  <c r="I77" i="3"/>
  <c r="G77" i="3"/>
  <c r="AP77" i="3" s="1"/>
  <c r="AS77" i="3" s="1"/>
  <c r="AR76" i="3"/>
  <c r="AQ76" i="3"/>
  <c r="AO76" i="3"/>
  <c r="I76" i="3"/>
  <c r="G76" i="3"/>
  <c r="AP76" i="3" s="1"/>
  <c r="AR75" i="3"/>
  <c r="AQ75" i="3"/>
  <c r="AO75" i="3"/>
  <c r="I75" i="3"/>
  <c r="G75" i="3"/>
  <c r="AP75" i="3" s="1"/>
  <c r="AR74" i="3"/>
  <c r="AQ74" i="3"/>
  <c r="AO74" i="3"/>
  <c r="AL74" i="3"/>
  <c r="AK74" i="3"/>
  <c r="AJ74" i="3"/>
  <c r="AH74" i="3"/>
  <c r="AD74" i="3"/>
  <c r="I74" i="3"/>
  <c r="G74" i="3"/>
  <c r="AP74" i="3" s="1"/>
  <c r="AS74" i="3" s="1"/>
  <c r="AR73" i="3"/>
  <c r="AQ73" i="3"/>
  <c r="AP73" i="3"/>
  <c r="N73" i="3" s="1"/>
  <c r="AO73" i="3"/>
  <c r="I73" i="3"/>
  <c r="G73" i="3"/>
  <c r="AR72" i="3"/>
  <c r="AQ72" i="3"/>
  <c r="AO72" i="3"/>
  <c r="I72" i="3"/>
  <c r="G72" i="3"/>
  <c r="AP72" i="3" s="1"/>
  <c r="AA72" i="3" s="1"/>
  <c r="AR71" i="3"/>
  <c r="AQ71" i="3"/>
  <c r="AO71" i="3"/>
  <c r="I71" i="3"/>
  <c r="G71" i="3"/>
  <c r="AP71" i="3" s="1"/>
  <c r="AR70" i="3"/>
  <c r="AQ70" i="3"/>
  <c r="AO70" i="3"/>
  <c r="I70" i="3"/>
  <c r="G70" i="3"/>
  <c r="AP70" i="3" s="1"/>
  <c r="AR69" i="3"/>
  <c r="AQ69" i="3"/>
  <c r="AO69" i="3"/>
  <c r="I69" i="3"/>
  <c r="G69" i="3"/>
  <c r="AP69" i="3" s="1"/>
  <c r="AL69" i="3" s="1"/>
  <c r="AR68" i="3"/>
  <c r="AQ68" i="3"/>
  <c r="AO68" i="3"/>
  <c r="Z68" i="3"/>
  <c r="Y68" i="3"/>
  <c r="W68" i="3"/>
  <c r="U68" i="3"/>
  <c r="L68" i="3"/>
  <c r="I68" i="3"/>
  <c r="G68" i="3"/>
  <c r="AP68" i="3" s="1"/>
  <c r="AJ68" i="3" s="1"/>
  <c r="AR67" i="3"/>
  <c r="AQ67" i="3"/>
  <c r="AO67" i="3"/>
  <c r="I67" i="3"/>
  <c r="G67" i="3"/>
  <c r="AP67" i="3" s="1"/>
  <c r="AF67" i="3" s="1"/>
  <c r="AR66" i="3"/>
  <c r="AQ66" i="3"/>
  <c r="AO66" i="3"/>
  <c r="I66" i="3"/>
  <c r="G66" i="3"/>
  <c r="AP66" i="3" s="1"/>
  <c r="AR65" i="3"/>
  <c r="AQ65" i="3"/>
  <c r="AO65" i="3"/>
  <c r="I65" i="3"/>
  <c r="G65" i="3"/>
  <c r="AP65" i="3" s="1"/>
  <c r="AR64" i="3"/>
  <c r="AQ64" i="3"/>
  <c r="AO64" i="3"/>
  <c r="I64" i="3"/>
  <c r="G64" i="3"/>
  <c r="AP64" i="3" s="1"/>
  <c r="AR63" i="3"/>
  <c r="AQ63" i="3"/>
  <c r="AO63" i="3"/>
  <c r="I63" i="3"/>
  <c r="G63" i="3"/>
  <c r="AP63" i="3" s="1"/>
  <c r="AH63" i="3" s="1"/>
  <c r="AR62" i="3"/>
  <c r="AQ62" i="3"/>
  <c r="AO62" i="3"/>
  <c r="AN62" i="3"/>
  <c r="AL62" i="3"/>
  <c r="I62" i="3"/>
  <c r="G62" i="3"/>
  <c r="AP62" i="3" s="1"/>
  <c r="AG62" i="3" s="1"/>
  <c r="AR61" i="3"/>
  <c r="AQ61" i="3"/>
  <c r="AO61" i="3"/>
  <c r="I61" i="3"/>
  <c r="G61" i="3"/>
  <c r="AP61" i="3" s="1"/>
  <c r="S61" i="3" s="1"/>
  <c r="AR60" i="3"/>
  <c r="AQ60" i="3"/>
  <c r="AO60" i="3"/>
  <c r="I60" i="3"/>
  <c r="G60" i="3"/>
  <c r="AP60" i="3" s="1"/>
  <c r="AG60" i="3" s="1"/>
  <c r="AS59" i="3"/>
  <c r="AR59" i="3"/>
  <c r="AQ59" i="3"/>
  <c r="AO59" i="3"/>
  <c r="AK59" i="3"/>
  <c r="AB59" i="3"/>
  <c r="Y59" i="3"/>
  <c r="U59" i="3"/>
  <c r="T59" i="3"/>
  <c r="Q59" i="3"/>
  <c r="N59" i="3"/>
  <c r="I59" i="3"/>
  <c r="G59" i="3"/>
  <c r="AP59" i="3" s="1"/>
  <c r="AJ59" i="3" s="1"/>
  <c r="AR58" i="3"/>
  <c r="AQ58" i="3"/>
  <c r="AO58" i="3"/>
  <c r="I58" i="3"/>
  <c r="G58" i="3"/>
  <c r="AP58" i="3" s="1"/>
  <c r="AS58" i="3" s="1"/>
  <c r="AR57" i="3"/>
  <c r="AQ57" i="3"/>
  <c r="AO57" i="3"/>
  <c r="I57" i="3"/>
  <c r="G57" i="3"/>
  <c r="AP57" i="3" s="1"/>
  <c r="AR56" i="3"/>
  <c r="AQ56" i="3"/>
  <c r="AO56" i="3"/>
  <c r="I56" i="3"/>
  <c r="G56" i="3"/>
  <c r="AP56" i="3" s="1"/>
  <c r="AN56" i="3" s="1"/>
  <c r="AR55" i="3"/>
  <c r="AQ55" i="3"/>
  <c r="AO55" i="3"/>
  <c r="I55" i="3"/>
  <c r="G55" i="3"/>
  <c r="AP55" i="3" s="1"/>
  <c r="AH55" i="3" s="1"/>
  <c r="AR54" i="3"/>
  <c r="AQ54" i="3"/>
  <c r="AO54" i="3"/>
  <c r="AJ54" i="3"/>
  <c r="V54" i="3"/>
  <c r="S54" i="3"/>
  <c r="M54" i="3"/>
  <c r="K54" i="3"/>
  <c r="I54" i="3"/>
  <c r="G54" i="3"/>
  <c r="AP54" i="3" s="1"/>
  <c r="AM54" i="3" s="1"/>
  <c r="AR53" i="3"/>
  <c r="AQ53" i="3"/>
  <c r="AO53" i="3"/>
  <c r="I53" i="3"/>
  <c r="G53" i="3"/>
  <c r="AP53" i="3" s="1"/>
  <c r="AR52" i="3"/>
  <c r="AQ52" i="3"/>
  <c r="AO52" i="3"/>
  <c r="I52" i="3"/>
  <c r="G52" i="3"/>
  <c r="AP52" i="3" s="1"/>
  <c r="AI52" i="3" s="1"/>
  <c r="AS51" i="3"/>
  <c r="AR51" i="3"/>
  <c r="AQ51" i="3"/>
  <c r="AO51" i="3"/>
  <c r="AG51" i="3"/>
  <c r="W51" i="3"/>
  <c r="I51" i="3"/>
  <c r="G51" i="3"/>
  <c r="AP51" i="3" s="1"/>
  <c r="AJ51" i="3" s="1"/>
  <c r="AR50" i="3"/>
  <c r="AQ50" i="3"/>
  <c r="AO50" i="3"/>
  <c r="AM50" i="3"/>
  <c r="AK50" i="3"/>
  <c r="AF50" i="3"/>
  <c r="N50" i="3"/>
  <c r="L50" i="3"/>
  <c r="I50" i="3"/>
  <c r="G50" i="3"/>
  <c r="AP50" i="3" s="1"/>
  <c r="AR49" i="3"/>
  <c r="AQ49" i="3"/>
  <c r="AO49" i="3"/>
  <c r="I49" i="3"/>
  <c r="G49" i="3"/>
  <c r="AP49" i="3" s="1"/>
  <c r="AR48" i="3"/>
  <c r="AQ48" i="3"/>
  <c r="AO48" i="3"/>
  <c r="I48" i="3"/>
  <c r="G48" i="3"/>
  <c r="AP48" i="3" s="1"/>
  <c r="AL48" i="3" s="1"/>
  <c r="AR47" i="3"/>
  <c r="AQ47" i="3"/>
  <c r="AO47" i="3"/>
  <c r="I47" i="3"/>
  <c r="G47" i="3"/>
  <c r="AP47" i="3" s="1"/>
  <c r="AC47" i="3" s="1"/>
  <c r="AR46" i="3"/>
  <c r="AQ46" i="3"/>
  <c r="AO46" i="3"/>
  <c r="I46" i="3"/>
  <c r="G46" i="3"/>
  <c r="AP46" i="3" s="1"/>
  <c r="AR45" i="3"/>
  <c r="AQ45" i="3"/>
  <c r="AO45" i="3"/>
  <c r="I45" i="3"/>
  <c r="G45" i="3"/>
  <c r="AP45" i="3" s="1"/>
  <c r="AJ45" i="3" s="1"/>
  <c r="AR44" i="3"/>
  <c r="AQ44" i="3"/>
  <c r="AO44" i="3"/>
  <c r="I44" i="3"/>
  <c r="G44" i="3"/>
  <c r="AP44" i="3" s="1"/>
  <c r="AE44" i="3" s="1"/>
  <c r="AR43" i="3"/>
  <c r="AQ43" i="3"/>
  <c r="AO43" i="3"/>
  <c r="I43" i="3"/>
  <c r="G43" i="3"/>
  <c r="AP43" i="3" s="1"/>
  <c r="Q43" i="3" s="1"/>
  <c r="AR42" i="3"/>
  <c r="AQ42" i="3"/>
  <c r="AO42" i="3"/>
  <c r="I42" i="3"/>
  <c r="G42" i="3"/>
  <c r="AP42" i="3" s="1"/>
  <c r="O42" i="3" s="1"/>
  <c r="AR41" i="3"/>
  <c r="AQ41" i="3"/>
  <c r="AO41" i="3"/>
  <c r="I41" i="3"/>
  <c r="G41" i="3"/>
  <c r="AP41" i="3" s="1"/>
  <c r="AS41" i="3" s="1"/>
  <c r="AR40" i="3"/>
  <c r="AQ40" i="3"/>
  <c r="AO40" i="3"/>
  <c r="I40" i="3"/>
  <c r="G40" i="3"/>
  <c r="AP40" i="3" s="1"/>
  <c r="Y40" i="3" s="1"/>
  <c r="AR39" i="3"/>
  <c r="AQ39" i="3"/>
  <c r="AO39" i="3"/>
  <c r="I39" i="3"/>
  <c r="G39" i="3"/>
  <c r="AP39" i="3" s="1"/>
  <c r="AJ39" i="3" s="1"/>
  <c r="AR38" i="3"/>
  <c r="AQ38" i="3"/>
  <c r="AO38" i="3"/>
  <c r="AA38" i="3"/>
  <c r="Y38" i="3"/>
  <c r="I38" i="3"/>
  <c r="G38" i="3"/>
  <c r="AP38" i="3" s="1"/>
  <c r="T38" i="3" s="1"/>
  <c r="AR37" i="3"/>
  <c r="AQ37" i="3"/>
  <c r="AO37" i="3"/>
  <c r="I37" i="3"/>
  <c r="G37" i="3"/>
  <c r="AP37" i="3" s="1"/>
  <c r="AR36" i="3"/>
  <c r="AQ36" i="3"/>
  <c r="AO36" i="3"/>
  <c r="I36" i="3"/>
  <c r="G36" i="3"/>
  <c r="AP36" i="3" s="1"/>
  <c r="AN36" i="3" s="1"/>
  <c r="AR35" i="3"/>
  <c r="AQ35" i="3"/>
  <c r="AO35" i="3"/>
  <c r="I35" i="3"/>
  <c r="G35" i="3"/>
  <c r="AP35" i="3" s="1"/>
  <c r="Q35" i="3" s="1"/>
  <c r="AR34" i="3"/>
  <c r="AQ34" i="3"/>
  <c r="AP34" i="3"/>
  <c r="AM34" i="3" s="1"/>
  <c r="AO34" i="3"/>
  <c r="I34" i="3"/>
  <c r="G34" i="3"/>
  <c r="AR33" i="3"/>
  <c r="AQ33" i="3"/>
  <c r="AO33" i="3"/>
  <c r="I33" i="3"/>
  <c r="G33" i="3"/>
  <c r="AP33" i="3" s="1"/>
  <c r="AH33" i="3" s="1"/>
  <c r="AR32" i="3"/>
  <c r="AQ32" i="3"/>
  <c r="AO32" i="3"/>
  <c r="I32" i="3"/>
  <c r="G32" i="3"/>
  <c r="AP32" i="3" s="1"/>
  <c r="AR31" i="3"/>
  <c r="AQ31" i="3"/>
  <c r="AP31" i="3"/>
  <c r="AL31" i="3" s="1"/>
  <c r="AO31" i="3"/>
  <c r="I31" i="3"/>
  <c r="G31" i="3"/>
  <c r="AR30" i="3"/>
  <c r="AQ30" i="3"/>
  <c r="AO30" i="3"/>
  <c r="I30" i="3"/>
  <c r="G30" i="3"/>
  <c r="AP30" i="3" s="1"/>
  <c r="AD30" i="3" s="1"/>
  <c r="AR29" i="3"/>
  <c r="AQ29" i="3"/>
  <c r="AO29" i="3"/>
  <c r="I29" i="3"/>
  <c r="G29" i="3"/>
  <c r="AP29" i="3" s="1"/>
  <c r="AR28" i="3"/>
  <c r="AQ28" i="3"/>
  <c r="AO28" i="3"/>
  <c r="I28" i="3"/>
  <c r="G28" i="3"/>
  <c r="AP28" i="3" s="1"/>
  <c r="AF28" i="3" s="1"/>
  <c r="AR27" i="3"/>
  <c r="AQ27" i="3"/>
  <c r="AO27" i="3"/>
  <c r="I27" i="3"/>
  <c r="G27" i="3"/>
  <c r="AP27" i="3" s="1"/>
  <c r="U27" i="3" s="1"/>
  <c r="AR26" i="3"/>
  <c r="AQ26" i="3"/>
  <c r="AO26" i="3"/>
  <c r="AG26" i="3"/>
  <c r="O26" i="3"/>
  <c r="I26" i="3"/>
  <c r="G26" i="3"/>
  <c r="AP26" i="3" s="1"/>
  <c r="AM26" i="3" s="1"/>
  <c r="AR25" i="3"/>
  <c r="AQ25" i="3"/>
  <c r="AP25" i="3"/>
  <c r="AH25" i="3" s="1"/>
  <c r="AO25" i="3"/>
  <c r="AN25" i="3"/>
  <c r="AM25" i="3"/>
  <c r="I25" i="3"/>
  <c r="G25" i="3"/>
  <c r="AR24" i="3"/>
  <c r="AQ24" i="3"/>
  <c r="AO24" i="3"/>
  <c r="AR23" i="3"/>
  <c r="AQ23" i="3"/>
  <c r="AO23" i="3"/>
  <c r="G23" i="3"/>
  <c r="AP23" i="3" s="1"/>
  <c r="AR22" i="3"/>
  <c r="AQ22" i="3"/>
  <c r="AO22" i="3"/>
  <c r="AR21" i="3"/>
  <c r="AQ21" i="3"/>
  <c r="AO21" i="3"/>
  <c r="AR20" i="3"/>
  <c r="AQ20" i="3"/>
  <c r="AO20" i="3"/>
  <c r="AR19" i="3"/>
  <c r="AO19" i="3" s="1"/>
  <c r="AQ19" i="3"/>
  <c r="AR18" i="3"/>
  <c r="AQ18" i="3"/>
  <c r="AO18" i="3"/>
  <c r="AR17" i="3"/>
  <c r="AQ17" i="3"/>
  <c r="AO17" i="3"/>
  <c r="AR16" i="3"/>
  <c r="AQ16" i="3"/>
  <c r="AO16" i="3"/>
  <c r="G16" i="3"/>
  <c r="AP16" i="3" s="1"/>
  <c r="I16" i="3" s="1"/>
  <c r="AR15" i="3"/>
  <c r="AQ15" i="3"/>
  <c r="AO15" i="3"/>
  <c r="AR14" i="3"/>
  <c r="AO14" i="3" s="1"/>
  <c r="AQ14" i="3"/>
  <c r="AR13" i="3"/>
  <c r="AQ13" i="3"/>
  <c r="AO13" i="3"/>
  <c r="G13" i="3"/>
  <c r="AP13" i="3" s="1"/>
  <c r="AS13" i="3" s="1"/>
  <c r="AR12" i="3"/>
  <c r="AQ12" i="3"/>
  <c r="AO12" i="3"/>
  <c r="AR11" i="3"/>
  <c r="AQ11" i="3"/>
  <c r="AO11" i="3"/>
  <c r="AR10" i="3"/>
  <c r="AQ10" i="3"/>
  <c r="AO10" i="3"/>
  <c r="AR9" i="3"/>
  <c r="AQ9" i="3"/>
  <c r="AO9" i="3"/>
  <c r="AR8" i="3"/>
  <c r="AQ8" i="3"/>
  <c r="AO8" i="3"/>
  <c r="AR7" i="3"/>
  <c r="AQ7" i="3"/>
  <c r="AO7" i="3"/>
  <c r="G7" i="3"/>
  <c r="AP7" i="3" s="1"/>
  <c r="AS7" i="3" s="1"/>
  <c r="AR6" i="3"/>
  <c r="AO6" i="3" s="1"/>
  <c r="AQ6" i="3"/>
  <c r="A3" i="3"/>
  <c r="B10" i="2"/>
  <c r="AO3" i="3" s="1"/>
  <c r="B9" i="2"/>
  <c r="G15" i="3" s="1"/>
  <c r="AP15" i="3" s="1"/>
  <c r="B6" i="2"/>
  <c r="K5" i="3" s="1"/>
  <c r="V95" i="3" l="1"/>
  <c r="AD95" i="3"/>
  <c r="Z95" i="3"/>
  <c r="S126" i="3"/>
  <c r="T126" i="3"/>
  <c r="AA126" i="3"/>
  <c r="U124" i="3"/>
  <c r="Y124" i="3"/>
  <c r="W124" i="3"/>
  <c r="AI124" i="3"/>
  <c r="AA124" i="3"/>
  <c r="X124" i="3"/>
  <c r="AL133" i="3"/>
  <c r="AN119" i="3"/>
  <c r="M58" i="3"/>
  <c r="AL39" i="3"/>
  <c r="V106" i="3"/>
  <c r="Y58" i="3"/>
  <c r="T69" i="3"/>
  <c r="X106" i="3"/>
  <c r="AB136" i="3"/>
  <c r="AJ142" i="3"/>
  <c r="Q152" i="3"/>
  <c r="G12" i="3"/>
  <c r="AP12" i="3" s="1"/>
  <c r="N12" i="3" s="1"/>
  <c r="AD56" i="3"/>
  <c r="AB69" i="3"/>
  <c r="R102" i="3"/>
  <c r="AE136" i="3"/>
  <c r="AJ152" i="3"/>
  <c r="AP3" i="3"/>
  <c r="S34" i="3"/>
  <c r="N51" i="3"/>
  <c r="AJ56" i="3"/>
  <c r="AS60" i="3"/>
  <c r="T102" i="3"/>
  <c r="AF136" i="3"/>
  <c r="AL152" i="3"/>
  <c r="AS154" i="3"/>
  <c r="AH16" i="3"/>
  <c r="N72" i="3"/>
  <c r="S106" i="3"/>
  <c r="N152" i="3"/>
  <c r="O152" i="3"/>
  <c r="W56" i="3"/>
  <c r="W69" i="3"/>
  <c r="Z34" i="3"/>
  <c r="O51" i="3"/>
  <c r="AK56" i="3"/>
  <c r="AN83" i="3"/>
  <c r="V93" i="3"/>
  <c r="U102" i="3"/>
  <c r="AG136" i="3"/>
  <c r="N58" i="3"/>
  <c r="U58" i="3"/>
  <c r="AI67" i="3"/>
  <c r="O102" i="3"/>
  <c r="AC136" i="3"/>
  <c r="AN146" i="3"/>
  <c r="AC34" i="3"/>
  <c r="Q51" i="3"/>
  <c r="AE93" i="3"/>
  <c r="Y102" i="3"/>
  <c r="AJ136" i="3"/>
  <c r="R136" i="3"/>
  <c r="P69" i="3"/>
  <c r="AH31" i="3"/>
  <c r="AH34" i="3"/>
  <c r="V51" i="3"/>
  <c r="AA102" i="3"/>
  <c r="AK140" i="3"/>
  <c r="AI30" i="3"/>
  <c r="AE102" i="3"/>
  <c r="AG142" i="3"/>
  <c r="AF102" i="3"/>
  <c r="S136" i="3"/>
  <c r="Y136" i="3"/>
  <c r="Z38" i="3"/>
  <c r="AJ100" i="3"/>
  <c r="L119" i="3"/>
  <c r="AB135" i="3"/>
  <c r="O69" i="3"/>
  <c r="S58" i="3"/>
  <c r="W136" i="3"/>
  <c r="AM30" i="3"/>
  <c r="X119" i="3"/>
  <c r="AE38" i="3"/>
  <c r="R84" i="3"/>
  <c r="AM105" i="3"/>
  <c r="AD119" i="3"/>
  <c r="AH30" i="3"/>
  <c r="AJ30" i="3"/>
  <c r="AD60" i="3"/>
  <c r="Q69" i="3"/>
  <c r="M62" i="3"/>
  <c r="T74" i="3"/>
  <c r="AJ62" i="3"/>
  <c r="AC74" i="3"/>
  <c r="AA84" i="3"/>
  <c r="AS102" i="3"/>
  <c r="AF119" i="3"/>
  <c r="L85" i="3"/>
  <c r="P85" i="3"/>
  <c r="AN85" i="3"/>
  <c r="M85" i="3"/>
  <c r="AI114" i="3"/>
  <c r="AK114" i="3"/>
  <c r="AI118" i="3"/>
  <c r="Z118" i="3"/>
  <c r="X121" i="3"/>
  <c r="AC121" i="3"/>
  <c r="AB121" i="3"/>
  <c r="K121" i="3"/>
  <c r="Z134" i="3"/>
  <c r="T134" i="3"/>
  <c r="AM147" i="3"/>
  <c r="S147" i="3"/>
  <c r="W111" i="3"/>
  <c r="Q111" i="3"/>
  <c r="AL137" i="3"/>
  <c r="V137" i="3"/>
  <c r="N137" i="3"/>
  <c r="AG41" i="3"/>
  <c r="T25" i="3"/>
  <c r="W25" i="3"/>
  <c r="AK25" i="3"/>
  <c r="AE30" i="3"/>
  <c r="AM33" i="3"/>
  <c r="V38" i="3"/>
  <c r="AC40" i="3"/>
  <c r="AI62" i="3"/>
  <c r="AH67" i="3"/>
  <c r="N69" i="3"/>
  <c r="AS69" i="3"/>
  <c r="AM83" i="3"/>
  <c r="Q93" i="3"/>
  <c r="W95" i="3"/>
  <c r="AG100" i="3"/>
  <c r="S119" i="3"/>
  <c r="V124" i="3"/>
  <c r="AG130" i="3"/>
  <c r="AI140" i="3"/>
  <c r="AF47" i="3"/>
  <c r="AC122" i="3"/>
  <c r="N33" i="3"/>
  <c r="N36" i="3"/>
  <c r="AH38" i="3"/>
  <c r="V59" i="3"/>
  <c r="U69" i="3"/>
  <c r="AE122" i="3"/>
  <c r="AC124" i="3"/>
  <c r="W152" i="3"/>
  <c r="Q33" i="3"/>
  <c r="O36" i="3"/>
  <c r="AA41" i="3"/>
  <c r="P55" i="3"/>
  <c r="V69" i="3"/>
  <c r="T82" i="3"/>
  <c r="AF124" i="3"/>
  <c r="AC129" i="3"/>
  <c r="Z152" i="3"/>
  <c r="K33" i="3"/>
  <c r="R33" i="3"/>
  <c r="P36" i="3"/>
  <c r="AF82" i="3"/>
  <c r="AD129" i="3"/>
  <c r="AC41" i="3"/>
  <c r="M25" i="3"/>
  <c r="S33" i="3"/>
  <c r="T34" i="3"/>
  <c r="AE41" i="3"/>
  <c r="K58" i="3"/>
  <c r="R68" i="3"/>
  <c r="X69" i="3"/>
  <c r="W74" i="3"/>
  <c r="Q84" i="3"/>
  <c r="L94" i="3"/>
  <c r="AE129" i="3"/>
  <c r="N25" i="3"/>
  <c r="M26" i="3"/>
  <c r="T33" i="3"/>
  <c r="AF41" i="3"/>
  <c r="L62" i="3"/>
  <c r="Z69" i="3"/>
  <c r="AF129" i="3"/>
  <c r="U150" i="3"/>
  <c r="P25" i="3"/>
  <c r="AD34" i="3"/>
  <c r="X39" i="3"/>
  <c r="AM41" i="3"/>
  <c r="O58" i="3"/>
  <c r="T62" i="3"/>
  <c r="AC69" i="3"/>
  <c r="AA77" i="3"/>
  <c r="P80" i="3"/>
  <c r="AB84" i="3"/>
  <c r="AI129" i="3"/>
  <c r="AM150" i="3"/>
  <c r="AG129" i="3"/>
  <c r="W26" i="3"/>
  <c r="X33" i="3"/>
  <c r="Q25" i="3"/>
  <c r="Y26" i="3"/>
  <c r="Y33" i="3"/>
  <c r="AE34" i="3"/>
  <c r="P58" i="3"/>
  <c r="U62" i="3"/>
  <c r="K67" i="3"/>
  <c r="AD69" i="3"/>
  <c r="AB77" i="3"/>
  <c r="W80" i="3"/>
  <c r="AC84" i="3"/>
  <c r="T89" i="3"/>
  <c r="Q100" i="3"/>
  <c r="AK129" i="3"/>
  <c r="S25" i="3"/>
  <c r="AB26" i="3"/>
  <c r="Z33" i="3"/>
  <c r="Z62" i="3"/>
  <c r="P67" i="3"/>
  <c r="AH69" i="3"/>
  <c r="AK77" i="3"/>
  <c r="AM89" i="3"/>
  <c r="S100" i="3"/>
  <c r="AE109" i="3"/>
  <c r="AB33" i="3"/>
  <c r="AA62" i="3"/>
  <c r="Q67" i="3"/>
  <c r="AI69" i="3"/>
  <c r="K83" i="3"/>
  <c r="Z100" i="3"/>
  <c r="K140" i="3"/>
  <c r="AS33" i="3"/>
  <c r="O25" i="3"/>
  <c r="W33" i="3"/>
  <c r="U25" i="3"/>
  <c r="AI26" i="3"/>
  <c r="AC33" i="3"/>
  <c r="AB62" i="3"/>
  <c r="S67" i="3"/>
  <c r="AM69" i="3"/>
  <c r="W83" i="3"/>
  <c r="P95" i="3"/>
  <c r="AA100" i="3"/>
  <c r="L140" i="3"/>
  <c r="N142" i="3"/>
  <c r="AC62" i="3"/>
  <c r="T67" i="3"/>
  <c r="AN69" i="3"/>
  <c r="AD83" i="3"/>
  <c r="Q95" i="3"/>
  <c r="AB100" i="3"/>
  <c r="K124" i="3"/>
  <c r="L128" i="3"/>
  <c r="X140" i="3"/>
  <c r="AD62" i="3"/>
  <c r="Z67" i="3"/>
  <c r="AH83" i="3"/>
  <c r="K93" i="3"/>
  <c r="T95" i="3"/>
  <c r="AC100" i="3"/>
  <c r="N119" i="3"/>
  <c r="Q124" i="3"/>
  <c r="V128" i="3"/>
  <c r="AD133" i="3"/>
  <c r="AA140" i="3"/>
  <c r="AJ26" i="3"/>
  <c r="AD33" i="3"/>
  <c r="AJ16" i="3"/>
  <c r="AE33" i="3"/>
  <c r="AG25" i="3"/>
  <c r="AK33" i="3"/>
  <c r="AE54" i="3"/>
  <c r="AF62" i="3"/>
  <c r="AB67" i="3"/>
  <c r="L69" i="3"/>
  <c r="L81" i="3"/>
  <c r="AI83" i="3"/>
  <c r="AC87" i="3"/>
  <c r="M93" i="3"/>
  <c r="U95" i="3"/>
  <c r="AE100" i="3"/>
  <c r="V102" i="3"/>
  <c r="O119" i="3"/>
  <c r="R124" i="3"/>
  <c r="X128" i="3"/>
  <c r="AH133" i="3"/>
  <c r="AE140" i="3"/>
  <c r="X25" i="3"/>
  <c r="AL26" i="3"/>
  <c r="AL33" i="3"/>
  <c r="AF54" i="3"/>
  <c r="AE67" i="3"/>
  <c r="M69" i="3"/>
  <c r="P81" i="3"/>
  <c r="AF100" i="3"/>
  <c r="W102" i="3"/>
  <c r="K130" i="3"/>
  <c r="AG140" i="3"/>
  <c r="AK146" i="3"/>
  <c r="AL131" i="3"/>
  <c r="AD131" i="3"/>
  <c r="AB131" i="3"/>
  <c r="X131" i="3"/>
  <c r="U131" i="3"/>
  <c r="M131" i="3"/>
  <c r="L131" i="3"/>
  <c r="AS131" i="3"/>
  <c r="R131" i="3"/>
  <c r="AC108" i="3"/>
  <c r="X108" i="3"/>
  <c r="W108" i="3"/>
  <c r="V108" i="3"/>
  <c r="S108" i="3"/>
  <c r="U108" i="3"/>
  <c r="P108" i="3"/>
  <c r="N108" i="3"/>
  <c r="AD108" i="3"/>
  <c r="AS108" i="3"/>
  <c r="AK108" i="3"/>
  <c r="Q108" i="3"/>
  <c r="AJ108" i="3"/>
  <c r="AI108" i="3"/>
  <c r="AH108" i="3"/>
  <c r="AG108" i="3"/>
  <c r="AF108" i="3"/>
  <c r="AB108" i="3"/>
  <c r="AA108" i="3"/>
  <c r="M108" i="3"/>
  <c r="L108" i="3"/>
  <c r="K108" i="3"/>
  <c r="AI53" i="3"/>
  <c r="Y53" i="3"/>
  <c r="U53" i="3"/>
  <c r="T53" i="3"/>
  <c r="S53" i="3"/>
  <c r="AL53" i="3"/>
  <c r="AM53" i="3"/>
  <c r="AE53" i="3"/>
  <c r="AA53" i="3"/>
  <c r="L53" i="3"/>
  <c r="K53" i="3"/>
  <c r="R123" i="3"/>
  <c r="T123" i="3"/>
  <c r="AJ123" i="3"/>
  <c r="AI123" i="3"/>
  <c r="AF123" i="3"/>
  <c r="AB123" i="3"/>
  <c r="AE12" i="3"/>
  <c r="AD12" i="3"/>
  <c r="AJ76" i="3"/>
  <c r="AC76" i="3"/>
  <c r="Y76" i="3"/>
  <c r="V76" i="3"/>
  <c r="T76" i="3"/>
  <c r="Q76" i="3"/>
  <c r="AK76" i="3"/>
  <c r="K76" i="3"/>
  <c r="S76" i="3"/>
  <c r="AN76" i="3"/>
  <c r="AM76" i="3"/>
  <c r="AL76" i="3"/>
  <c r="AH76" i="3"/>
  <c r="AE76" i="3"/>
  <c r="R76" i="3"/>
  <c r="O76" i="3"/>
  <c r="AK29" i="3"/>
  <c r="AL29" i="3"/>
  <c r="AJ29" i="3"/>
  <c r="AI29" i="3"/>
  <c r="AF29" i="3"/>
  <c r="R29" i="3"/>
  <c r="Z29" i="3"/>
  <c r="S29" i="3"/>
  <c r="N29" i="3"/>
  <c r="M29" i="3"/>
  <c r="L29" i="3"/>
  <c r="K49" i="3"/>
  <c r="L49" i="3"/>
  <c r="AN49" i="3"/>
  <c r="AM49" i="3"/>
  <c r="AL49" i="3"/>
  <c r="AF49" i="3"/>
  <c r="M49" i="3"/>
  <c r="AJ49" i="3"/>
  <c r="R49" i="3"/>
  <c r="AH49" i="3"/>
  <c r="O49" i="3"/>
  <c r="AB49" i="3"/>
  <c r="Z49" i="3"/>
  <c r="V49" i="3"/>
  <c r="U49" i="3"/>
  <c r="T49" i="3"/>
  <c r="S49" i="3"/>
  <c r="N49" i="3"/>
  <c r="AE64" i="3"/>
  <c r="AG64" i="3"/>
  <c r="W64" i="3"/>
  <c r="V64" i="3"/>
  <c r="U64" i="3"/>
  <c r="T64" i="3"/>
  <c r="P64" i="3"/>
  <c r="AH64" i="3"/>
  <c r="K64" i="3"/>
  <c r="AA64" i="3"/>
  <c r="AS64" i="3"/>
  <c r="AN64" i="3"/>
  <c r="AM64" i="3"/>
  <c r="AI64" i="3"/>
  <c r="AB64" i="3"/>
  <c r="S64" i="3"/>
  <c r="Q64" i="3"/>
  <c r="N64" i="3"/>
  <c r="W90" i="3"/>
  <c r="V90" i="3"/>
  <c r="S90" i="3"/>
  <c r="W57" i="3"/>
  <c r="T57" i="3"/>
  <c r="N57" i="3"/>
  <c r="M57" i="3"/>
  <c r="L57" i="3"/>
  <c r="AE16" i="3"/>
  <c r="AK36" i="3"/>
  <c r="L36" i="3"/>
  <c r="AG36" i="3"/>
  <c r="AF36" i="3"/>
  <c r="AD36" i="3"/>
  <c r="AC36" i="3"/>
  <c r="Z36" i="3"/>
  <c r="AL36" i="3"/>
  <c r="M36" i="3"/>
  <c r="AS36" i="3"/>
  <c r="O80" i="3"/>
  <c r="AJ86" i="3"/>
  <c r="AG91" i="3"/>
  <c r="AH91" i="3"/>
  <c r="V91" i="3"/>
  <c r="T91" i="3"/>
  <c r="Q91" i="3"/>
  <c r="K91" i="3"/>
  <c r="AM91" i="3"/>
  <c r="K106" i="3"/>
  <c r="AN106" i="3"/>
  <c r="AL106" i="3"/>
  <c r="AJ106" i="3"/>
  <c r="AI106" i="3"/>
  <c r="P106" i="3"/>
  <c r="AG125" i="3"/>
  <c r="AI125" i="3"/>
  <c r="AL37" i="3"/>
  <c r="AE37" i="3"/>
  <c r="Q98" i="3"/>
  <c r="AN98" i="3"/>
  <c r="N98" i="3"/>
  <c r="AJ98" i="3"/>
  <c r="K98" i="3"/>
  <c r="AI98" i="3"/>
  <c r="AH98" i="3"/>
  <c r="AG98" i="3"/>
  <c r="AD98" i="3"/>
  <c r="AB98" i="3"/>
  <c r="AA98" i="3"/>
  <c r="O98" i="3"/>
  <c r="AC104" i="3"/>
  <c r="AH104" i="3"/>
  <c r="U104" i="3"/>
  <c r="R104" i="3"/>
  <c r="AJ132" i="3"/>
  <c r="AI132" i="3"/>
  <c r="AH132" i="3"/>
  <c r="AG132" i="3"/>
  <c r="AE132" i="3"/>
  <c r="AA132" i="3"/>
  <c r="Y132" i="3"/>
  <c r="AD37" i="3"/>
  <c r="AS47" i="3"/>
  <c r="AB61" i="3"/>
  <c r="AI71" i="3"/>
  <c r="AD71" i="3"/>
  <c r="AC71" i="3"/>
  <c r="Y71" i="3"/>
  <c r="R71" i="3"/>
  <c r="AK92" i="3"/>
  <c r="AJ92" i="3"/>
  <c r="AD92" i="3"/>
  <c r="AC92" i="3"/>
  <c r="Y92" i="3"/>
  <c r="V92" i="3"/>
  <c r="S92" i="3"/>
  <c r="AA114" i="3"/>
  <c r="AS114" i="3"/>
  <c r="AG37" i="3"/>
  <c r="AI48" i="3"/>
  <c r="AS48" i="3"/>
  <c r="AJ48" i="3"/>
  <c r="L48" i="3"/>
  <c r="AE61" i="3"/>
  <c r="AA73" i="3"/>
  <c r="AN73" i="3"/>
  <c r="AF73" i="3"/>
  <c r="U73" i="3"/>
  <c r="R73" i="3"/>
  <c r="T73" i="3"/>
  <c r="K73" i="3"/>
  <c r="AS98" i="3"/>
  <c r="AI121" i="3"/>
  <c r="P121" i="3"/>
  <c r="AS121" i="3"/>
  <c r="R121" i="3"/>
  <c r="V145" i="3"/>
  <c r="Q36" i="3"/>
  <c r="K47" i="3"/>
  <c r="AM61" i="3"/>
  <c r="O71" i="3"/>
  <c r="AA78" i="3"/>
  <c r="N92" i="3"/>
  <c r="AH109" i="3"/>
  <c r="S109" i="3"/>
  <c r="N109" i="3"/>
  <c r="K109" i="3"/>
  <c r="AM109" i="3"/>
  <c r="AA112" i="3"/>
  <c r="M132" i="3"/>
  <c r="I23" i="3"/>
  <c r="R36" i="3"/>
  <c r="L47" i="3"/>
  <c r="AK54" i="3"/>
  <c r="AN61" i="3"/>
  <c r="P71" i="3"/>
  <c r="AG78" i="3"/>
  <c r="AC83" i="3"/>
  <c r="AE83" i="3"/>
  <c r="AA83" i="3"/>
  <c r="Z83" i="3"/>
  <c r="Y83" i="3"/>
  <c r="X83" i="3"/>
  <c r="U83" i="3"/>
  <c r="AF83" i="3"/>
  <c r="Q92" i="3"/>
  <c r="Y106" i="3"/>
  <c r="AH115" i="3"/>
  <c r="AA115" i="3"/>
  <c r="X115" i="3"/>
  <c r="L115" i="3"/>
  <c r="Y128" i="3"/>
  <c r="P128" i="3"/>
  <c r="U128" i="3"/>
  <c r="R132" i="3"/>
  <c r="S36" i="3"/>
  <c r="N48" i="3"/>
  <c r="AB58" i="3"/>
  <c r="AA68" i="3"/>
  <c r="AE74" i="3"/>
  <c r="AB74" i="3"/>
  <c r="AA74" i="3"/>
  <c r="Z74" i="3"/>
  <c r="Y74" i="3"/>
  <c r="X74" i="3"/>
  <c r="U74" i="3"/>
  <c r="AG74" i="3"/>
  <c r="AH75" i="3"/>
  <c r="AB75" i="3"/>
  <c r="Z75" i="3"/>
  <c r="W75" i="3"/>
  <c r="T75" i="3"/>
  <c r="U75" i="3"/>
  <c r="AI75" i="3"/>
  <c r="L83" i="3"/>
  <c r="X92" i="3"/>
  <c r="M94" i="3"/>
  <c r="L98" i="3"/>
  <c r="AC106" i="3"/>
  <c r="AL120" i="3"/>
  <c r="AB120" i="3"/>
  <c r="S132" i="3"/>
  <c r="T36" i="3"/>
  <c r="T47" i="3"/>
  <c r="AD58" i="3"/>
  <c r="AE68" i="3"/>
  <c r="X71" i="3"/>
  <c r="M83" i="3"/>
  <c r="AL92" i="3"/>
  <c r="N94" i="3"/>
  <c r="M98" i="3"/>
  <c r="AD106" i="3"/>
  <c r="AJ115" i="3"/>
  <c r="S124" i="3"/>
  <c r="AN124" i="3"/>
  <c r="P124" i="3"/>
  <c r="AM124" i="3"/>
  <c r="O124" i="3"/>
  <c r="AL124" i="3"/>
  <c r="N124" i="3"/>
  <c r="AK124" i="3"/>
  <c r="M124" i="3"/>
  <c r="AJ124" i="3"/>
  <c r="L124" i="3"/>
  <c r="AH124" i="3"/>
  <c r="AG124" i="3"/>
  <c r="T124" i="3"/>
  <c r="T132" i="3"/>
  <c r="AG31" i="3"/>
  <c r="AN31" i="3"/>
  <c r="W36" i="3"/>
  <c r="AL38" i="3"/>
  <c r="AS38" i="3"/>
  <c r="AN38" i="3"/>
  <c r="AM38" i="3"/>
  <c r="AD38" i="3"/>
  <c r="L38" i="3"/>
  <c r="K45" i="3"/>
  <c r="X47" i="3"/>
  <c r="X48" i="3"/>
  <c r="AN58" i="3"/>
  <c r="AM60" i="3"/>
  <c r="Y60" i="3"/>
  <c r="AN71" i="3"/>
  <c r="K74" i="3"/>
  <c r="O75" i="3"/>
  <c r="N83" i="3"/>
  <c r="AS83" i="3"/>
  <c r="AN92" i="3"/>
  <c r="Q94" i="3"/>
  <c r="AF95" i="3"/>
  <c r="AE95" i="3"/>
  <c r="AN95" i="3"/>
  <c r="AM95" i="3"/>
  <c r="AG95" i="3"/>
  <c r="AB95" i="3"/>
  <c r="AA95" i="3"/>
  <c r="AS95" i="3"/>
  <c r="R98" i="3"/>
  <c r="T105" i="3"/>
  <c r="AG106" i="3"/>
  <c r="AL115" i="3"/>
  <c r="O120" i="3"/>
  <c r="Q122" i="3"/>
  <c r="X126" i="3"/>
  <c r="P126" i="3"/>
  <c r="Y126" i="3"/>
  <c r="Z129" i="3"/>
  <c r="S129" i="3"/>
  <c r="AS129" i="3"/>
  <c r="R129" i="3"/>
  <c r="Q129" i="3"/>
  <c r="O129" i="3"/>
  <c r="N129" i="3"/>
  <c r="AM129" i="3"/>
  <c r="K129" i="3"/>
  <c r="AL129" i="3"/>
  <c r="AA129" i="3"/>
  <c r="V132" i="3"/>
  <c r="S143" i="3"/>
  <c r="Z153" i="3"/>
  <c r="Y36" i="3"/>
  <c r="N45" i="3"/>
  <c r="Y47" i="3"/>
  <c r="Y48" i="3"/>
  <c r="W62" i="3"/>
  <c r="AS62" i="3"/>
  <c r="S62" i="3"/>
  <c r="P62" i="3"/>
  <c r="O62" i="3"/>
  <c r="N62" i="3"/>
  <c r="AK62" i="3"/>
  <c r="K62" i="3"/>
  <c r="X62" i="3"/>
  <c r="L74" i="3"/>
  <c r="AE75" i="3"/>
  <c r="O83" i="3"/>
  <c r="R94" i="3"/>
  <c r="S98" i="3"/>
  <c r="U105" i="3"/>
  <c r="AK106" i="3"/>
  <c r="T120" i="3"/>
  <c r="R122" i="3"/>
  <c r="AC132" i="3"/>
  <c r="AJ143" i="3"/>
  <c r="K132" i="3"/>
  <c r="U153" i="3"/>
  <c r="S153" i="3"/>
  <c r="N153" i="3"/>
  <c r="L153" i="3"/>
  <c r="AJ153" i="3"/>
  <c r="AH153" i="3"/>
  <c r="AE153" i="3"/>
  <c r="W153" i="3"/>
  <c r="V153" i="3"/>
  <c r="T153" i="3"/>
  <c r="U71" i="3"/>
  <c r="X153" i="3"/>
  <c r="AD25" i="3"/>
  <c r="AI25" i="3"/>
  <c r="AF25" i="3"/>
  <c r="AA25" i="3"/>
  <c r="Z25" i="3"/>
  <c r="Y25" i="3"/>
  <c r="V25" i="3"/>
  <c r="AJ25" i="3"/>
  <c r="AA36" i="3"/>
  <c r="N38" i="3"/>
  <c r="T45" i="3"/>
  <c r="Z47" i="3"/>
  <c r="AA48" i="3"/>
  <c r="AJ55" i="3"/>
  <c r="R55" i="3"/>
  <c r="K60" i="3"/>
  <c r="M74" i="3"/>
  <c r="AG75" i="3"/>
  <c r="Q83" i="3"/>
  <c r="V94" i="3"/>
  <c r="T98" i="3"/>
  <c r="V105" i="3"/>
  <c r="AS124" i="3"/>
  <c r="M129" i="3"/>
  <c r="AK132" i="3"/>
  <c r="AK134" i="3"/>
  <c r="AH134" i="3"/>
  <c r="Q134" i="3"/>
  <c r="N134" i="3"/>
  <c r="L134" i="3"/>
  <c r="AI134" i="3"/>
  <c r="AK143" i="3"/>
  <c r="AB153" i="3"/>
  <c r="S122" i="3"/>
  <c r="AS122" i="3"/>
  <c r="N122" i="3"/>
  <c r="M122" i="3"/>
  <c r="L122" i="3"/>
  <c r="AM122" i="3"/>
  <c r="K122" i="3"/>
  <c r="AG122" i="3"/>
  <c r="AF122" i="3"/>
  <c r="U122" i="3"/>
  <c r="R105" i="3"/>
  <c r="K30" i="3"/>
  <c r="AS30" i="3"/>
  <c r="AN30" i="3"/>
  <c r="AK34" i="3"/>
  <c r="U34" i="3"/>
  <c r="Q34" i="3"/>
  <c r="L34" i="3"/>
  <c r="X34" i="3"/>
  <c r="AB36" i="3"/>
  <c r="P38" i="3"/>
  <c r="AA45" i="3"/>
  <c r="AB47" i="3"/>
  <c r="AC48" i="3"/>
  <c r="M60" i="3"/>
  <c r="O74" i="3"/>
  <c r="AJ75" i="3"/>
  <c r="AN77" i="3"/>
  <c r="AF77" i="3"/>
  <c r="Z77" i="3"/>
  <c r="Y77" i="3"/>
  <c r="X77" i="3"/>
  <c r="S77" i="3"/>
  <c r="R77" i="3"/>
  <c r="M77" i="3"/>
  <c r="AH77" i="3"/>
  <c r="M79" i="3"/>
  <c r="AK81" i="3"/>
  <c r="Z81" i="3"/>
  <c r="AB81" i="3"/>
  <c r="R83" i="3"/>
  <c r="X94" i="3"/>
  <c r="U98" i="3"/>
  <c r="X122" i="3"/>
  <c r="AL127" i="3"/>
  <c r="W127" i="3"/>
  <c r="N127" i="3"/>
  <c r="X129" i="3"/>
  <c r="AJ130" i="3"/>
  <c r="N130" i="3"/>
  <c r="P130" i="3"/>
  <c r="AN132" i="3"/>
  <c r="AF141" i="3"/>
  <c r="AN143" i="3"/>
  <c r="AD153" i="3"/>
  <c r="W112" i="3"/>
  <c r="M48" i="3"/>
  <c r="AS105" i="3"/>
  <c r="AK105" i="3"/>
  <c r="AJ105" i="3"/>
  <c r="AI36" i="3"/>
  <c r="R38" i="3"/>
  <c r="AH40" i="3"/>
  <c r="AI40" i="3"/>
  <c r="AG40" i="3"/>
  <c r="X40" i="3"/>
  <c r="AE48" i="3"/>
  <c r="U60" i="3"/>
  <c r="Q74" i="3"/>
  <c r="AK75" i="3"/>
  <c r="S83" i="3"/>
  <c r="AN93" i="3"/>
  <c r="AK93" i="3"/>
  <c r="AJ93" i="3"/>
  <c r="AF93" i="3"/>
  <c r="AI93" i="3"/>
  <c r="AA93" i="3"/>
  <c r="W93" i="3"/>
  <c r="V98" i="3"/>
  <c r="Z105" i="3"/>
  <c r="AH119" i="3"/>
  <c r="AC119" i="3"/>
  <c r="AB119" i="3"/>
  <c r="AA119" i="3"/>
  <c r="Y119" i="3"/>
  <c r="Z119" i="3"/>
  <c r="W119" i="3"/>
  <c r="V119" i="3"/>
  <c r="AK119" i="3"/>
  <c r="Y122" i="3"/>
  <c r="Y129" i="3"/>
  <c r="AI141" i="3"/>
  <c r="AF153" i="3"/>
  <c r="V47" i="3"/>
  <c r="Q47" i="3"/>
  <c r="P47" i="3"/>
  <c r="O47" i="3"/>
  <c r="AN47" i="3"/>
  <c r="N47" i="3"/>
  <c r="AJ47" i="3"/>
  <c r="W47" i="3"/>
  <c r="AK37" i="3"/>
  <c r="R47" i="3"/>
  <c r="AK151" i="3"/>
  <c r="W151" i="3"/>
  <c r="AI151" i="3"/>
  <c r="AG151" i="3"/>
  <c r="N151" i="3"/>
  <c r="M151" i="3"/>
  <c r="P48" i="3"/>
  <c r="L25" i="3"/>
  <c r="AS25" i="3"/>
  <c r="V30" i="3"/>
  <c r="AJ36" i="3"/>
  <c r="S38" i="3"/>
  <c r="AD47" i="3"/>
  <c r="AG48" i="3"/>
  <c r="X55" i="3"/>
  <c r="AM59" i="3"/>
  <c r="AF59" i="3"/>
  <c r="AE59" i="3"/>
  <c r="AD59" i="3"/>
  <c r="AC59" i="3"/>
  <c r="X59" i="3"/>
  <c r="V60" i="3"/>
  <c r="U63" i="3"/>
  <c r="Z63" i="3"/>
  <c r="AE63" i="3"/>
  <c r="R74" i="3"/>
  <c r="P77" i="3"/>
  <c r="T83" i="3"/>
  <c r="AD96" i="3"/>
  <c r="W98" i="3"/>
  <c r="AG105" i="3"/>
  <c r="AS106" i="3"/>
  <c r="Z122" i="3"/>
  <c r="S125" i="3"/>
  <c r="M127" i="3"/>
  <c r="AB129" i="3"/>
  <c r="AK153" i="3"/>
  <c r="AN145" i="3"/>
  <c r="AF145" i="3"/>
  <c r="X145" i="3"/>
  <c r="W145" i="3"/>
  <c r="S145" i="3"/>
  <c r="T78" i="3"/>
  <c r="AN26" i="3"/>
  <c r="Z26" i="3"/>
  <c r="V26" i="3"/>
  <c r="T26" i="3"/>
  <c r="S26" i="3"/>
  <c r="P26" i="3"/>
  <c r="AS26" i="3"/>
  <c r="AA26" i="3"/>
  <c r="K28" i="3"/>
  <c r="M28" i="3"/>
  <c r="AM36" i="3"/>
  <c r="AM45" i="3"/>
  <c r="AK45" i="3"/>
  <c r="Z45" i="3"/>
  <c r="Y45" i="3"/>
  <c r="V45" i="3"/>
  <c r="U45" i="3"/>
  <c r="L45" i="3"/>
  <c r="AE47" i="3"/>
  <c r="AK48" i="3"/>
  <c r="W79" i="3"/>
  <c r="O79" i="3"/>
  <c r="AM79" i="3"/>
  <c r="AN82" i="3"/>
  <c r="AI82" i="3"/>
  <c r="AM82" i="3"/>
  <c r="AA82" i="3"/>
  <c r="V83" i="3"/>
  <c r="AN94" i="3"/>
  <c r="AK94" i="3"/>
  <c r="AJ94" i="3"/>
  <c r="AI94" i="3"/>
  <c r="AF94" i="3"/>
  <c r="Y94" i="3"/>
  <c r="Y98" i="3"/>
  <c r="AH105" i="3"/>
  <c r="AA122" i="3"/>
  <c r="T125" i="3"/>
  <c r="L86" i="3"/>
  <c r="Z98" i="3"/>
  <c r="AS132" i="3"/>
  <c r="AG141" i="3"/>
  <c r="AA141" i="3"/>
  <c r="Z141" i="3"/>
  <c r="R141" i="3"/>
  <c r="O141" i="3"/>
  <c r="M141" i="3"/>
  <c r="L141" i="3"/>
  <c r="AE141" i="3"/>
  <c r="AB141" i="3"/>
  <c r="AI47" i="3"/>
  <c r="Z54" i="3"/>
  <c r="AG54" i="3"/>
  <c r="AD54" i="3"/>
  <c r="Y54" i="3"/>
  <c r="X54" i="3"/>
  <c r="W54" i="3"/>
  <c r="Q54" i="3"/>
  <c r="AH54" i="3"/>
  <c r="AL58" i="3"/>
  <c r="AJ58" i="3"/>
  <c r="AI58" i="3"/>
  <c r="AH58" i="3"/>
  <c r="AA58" i="3"/>
  <c r="O82" i="3"/>
  <c r="AB83" i="3"/>
  <c r="W86" i="3"/>
  <c r="W91" i="3"/>
  <c r="AC98" i="3"/>
  <c r="O114" i="3"/>
  <c r="N121" i="3"/>
  <c r="AD122" i="3"/>
  <c r="AB125" i="3"/>
  <c r="AK47" i="3"/>
  <c r="AB86" i="3"/>
  <c r="AL98" i="3"/>
  <c r="Q114" i="3"/>
  <c r="T121" i="3"/>
  <c r="AD125" i="3"/>
  <c r="AD16" i="3"/>
  <c r="AL47" i="3"/>
  <c r="K56" i="3"/>
  <c r="O56" i="3"/>
  <c r="Q68" i="3"/>
  <c r="N68" i="3"/>
  <c r="O68" i="3"/>
  <c r="AG83" i="3"/>
  <c r="AC86" i="3"/>
  <c r="AH89" i="3"/>
  <c r="AK89" i="3"/>
  <c r="AI89" i="3"/>
  <c r="Y89" i="3"/>
  <c r="X89" i="3"/>
  <c r="W89" i="3"/>
  <c r="N89" i="3"/>
  <c r="AM98" i="3"/>
  <c r="AG111" i="3"/>
  <c r="M111" i="3"/>
  <c r="L111" i="3"/>
  <c r="K111" i="3"/>
  <c r="AJ111" i="3"/>
  <c r="S114" i="3"/>
  <c r="U121" i="3"/>
  <c r="AJ122" i="3"/>
  <c r="AI144" i="3"/>
  <c r="AH144" i="3"/>
  <c r="AG144" i="3"/>
  <c r="Y144" i="3"/>
  <c r="P144" i="3"/>
  <c r="AN144" i="3"/>
  <c r="G20" i="3"/>
  <c r="AP20" i="3" s="1"/>
  <c r="Z20" i="3" s="1"/>
  <c r="W84" i="3"/>
  <c r="W100" i="3"/>
  <c r="U136" i="3"/>
  <c r="R140" i="3"/>
  <c r="U146" i="3"/>
  <c r="S154" i="3"/>
  <c r="AD146" i="3"/>
  <c r="AL136" i="3"/>
  <c r="M147" i="3"/>
  <c r="AE69" i="3"/>
  <c r="AM100" i="3"/>
  <c r="AC102" i="3"/>
  <c r="R147" i="3"/>
  <c r="AK69" i="3"/>
  <c r="AG102" i="3"/>
  <c r="AS136" i="3"/>
  <c r="P142" i="3"/>
  <c r="AC147" i="3"/>
  <c r="AS84" i="3"/>
  <c r="O142" i="3"/>
  <c r="Y147" i="3"/>
  <c r="K84" i="3"/>
  <c r="K100" i="3"/>
  <c r="M136" i="3"/>
  <c r="W142" i="3"/>
  <c r="AD147" i="3"/>
  <c r="Y149" i="3"/>
  <c r="G24" i="3"/>
  <c r="AP24" i="3" s="1"/>
  <c r="M24" i="3" s="1"/>
  <c r="N84" i="3"/>
  <c r="L100" i="3"/>
  <c r="O136" i="3"/>
  <c r="AA142" i="3"/>
  <c r="AE147" i="3"/>
  <c r="P84" i="3"/>
  <c r="P100" i="3"/>
  <c r="Q136" i="3"/>
  <c r="M137" i="3"/>
  <c r="T84" i="3"/>
  <c r="T136" i="3"/>
  <c r="AG137" i="3"/>
  <c r="AD70" i="3"/>
  <c r="AJ70" i="3"/>
  <c r="O70" i="3"/>
  <c r="AF70" i="3"/>
  <c r="Y70" i="3"/>
  <c r="AA70" i="3"/>
  <c r="Q70" i="3"/>
  <c r="V70" i="3"/>
  <c r="AN70" i="3"/>
  <c r="M70" i="3"/>
  <c r="AM70" i="3"/>
  <c r="L70" i="3"/>
  <c r="AE70" i="3"/>
  <c r="AC70" i="3"/>
  <c r="T70" i="3"/>
  <c r="S70" i="3"/>
  <c r="P70" i="3"/>
  <c r="AS70" i="3"/>
  <c r="N70" i="3"/>
  <c r="AH70" i="3"/>
  <c r="AG70" i="3"/>
  <c r="AB70" i="3"/>
  <c r="U70" i="3"/>
  <c r="R70" i="3"/>
  <c r="K70" i="3"/>
  <c r="AL70" i="3"/>
  <c r="W70" i="3"/>
  <c r="AK70" i="3"/>
  <c r="AI70" i="3"/>
  <c r="Z70" i="3"/>
  <c r="X70" i="3"/>
  <c r="AL66" i="3"/>
  <c r="R66" i="3"/>
  <c r="AN66" i="3"/>
  <c r="S66" i="3"/>
  <c r="AC66" i="3"/>
  <c r="AS66" i="3"/>
  <c r="W66" i="3"/>
  <c r="AI66" i="3"/>
  <c r="K66" i="3"/>
  <c r="Y66" i="3"/>
  <c r="O66" i="3"/>
  <c r="AG66" i="3"/>
  <c r="AF66" i="3"/>
  <c r="X66" i="3"/>
  <c r="AD66" i="3"/>
  <c r="Q66" i="3"/>
  <c r="N66" i="3"/>
  <c r="M66" i="3"/>
  <c r="AM66" i="3"/>
  <c r="AK66" i="3"/>
  <c r="AB66" i="3"/>
  <c r="AA66" i="3"/>
  <c r="T66" i="3"/>
  <c r="P66" i="3"/>
  <c r="AJ66" i="3"/>
  <c r="AH66" i="3"/>
  <c r="AE66" i="3"/>
  <c r="Z66" i="3"/>
  <c r="V66" i="3"/>
  <c r="U66" i="3"/>
  <c r="L66" i="3"/>
  <c r="L5" i="3"/>
  <c r="K4" i="3"/>
  <c r="K23" i="3"/>
  <c r="U15" i="3"/>
  <c r="AC15" i="3"/>
  <c r="AB15" i="3"/>
  <c r="W15" i="3"/>
  <c r="AL15" i="3"/>
  <c r="Q15" i="3"/>
  <c r="AK15" i="3"/>
  <c r="P15" i="3"/>
  <c r="AG15" i="3"/>
  <c r="L15" i="3"/>
  <c r="AF15" i="3"/>
  <c r="AE15" i="3"/>
  <c r="AA15" i="3"/>
  <c r="Z15" i="3"/>
  <c r="V15" i="3"/>
  <c r="N15" i="3"/>
  <c r="X15" i="3"/>
  <c r="T15" i="3"/>
  <c r="S15" i="3"/>
  <c r="R15" i="3"/>
  <c r="O15" i="3"/>
  <c r="M15" i="3"/>
  <c r="AH15" i="3"/>
  <c r="K15" i="3"/>
  <c r="I15" i="3"/>
  <c r="AS15" i="3"/>
  <c r="AD15" i="3"/>
  <c r="AN15" i="3"/>
  <c r="AJ15" i="3"/>
  <c r="AM15" i="3"/>
  <c r="AI15" i="3"/>
  <c r="Y15" i="3"/>
  <c r="AF12" i="3"/>
  <c r="L12" i="3"/>
  <c r="AI12" i="3"/>
  <c r="M12" i="3"/>
  <c r="AB12" i="3"/>
  <c r="W12" i="3"/>
  <c r="V12" i="3"/>
  <c r="AM12" i="3"/>
  <c r="R12" i="3"/>
  <c r="AC12" i="3"/>
  <c r="AA12" i="3"/>
  <c r="Y12" i="3"/>
  <c r="X12" i="3"/>
  <c r="S12" i="3"/>
  <c r="I12" i="3"/>
  <c r="Z12" i="3"/>
  <c r="AC16" i="3"/>
  <c r="AA28" i="3"/>
  <c r="AN28" i="3"/>
  <c r="T28" i="3"/>
  <c r="AL28" i="3"/>
  <c r="R28" i="3"/>
  <c r="AK28" i="3"/>
  <c r="Q28" i="3"/>
  <c r="AD28" i="3"/>
  <c r="AC28" i="3"/>
  <c r="W28" i="3"/>
  <c r="V28" i="3"/>
  <c r="O28" i="3"/>
  <c r="N28" i="3"/>
  <c r="AH28" i="3"/>
  <c r="AI28" i="3"/>
  <c r="AG28" i="3"/>
  <c r="AE28" i="3"/>
  <c r="AB28" i="3"/>
  <c r="X28" i="3"/>
  <c r="L28" i="3"/>
  <c r="AI65" i="3"/>
  <c r="O65" i="3"/>
  <c r="AH65" i="3"/>
  <c r="M65" i="3"/>
  <c r="V65" i="3"/>
  <c r="AL65" i="3"/>
  <c r="P65" i="3"/>
  <c r="Y65" i="3"/>
  <c r="AM65" i="3"/>
  <c r="L65" i="3"/>
  <c r="AA65" i="3"/>
  <c r="R65" i="3"/>
  <c r="Q65" i="3"/>
  <c r="AG65" i="3"/>
  <c r="AK65" i="3"/>
  <c r="Z65" i="3"/>
  <c r="W65" i="3"/>
  <c r="U65" i="3"/>
  <c r="S65" i="3"/>
  <c r="AN65" i="3"/>
  <c r="AJ65" i="3"/>
  <c r="AC65" i="3"/>
  <c r="AB65" i="3"/>
  <c r="K65" i="3"/>
  <c r="AS65" i="3"/>
  <c r="AL96" i="3"/>
  <c r="R96" i="3"/>
  <c r="AB96" i="3"/>
  <c r="S96" i="3"/>
  <c r="AN96" i="3"/>
  <c r="Q96" i="3"/>
  <c r="W96" i="3"/>
  <c r="AS96" i="3"/>
  <c r="V96" i="3"/>
  <c r="AA96" i="3"/>
  <c r="AH96" i="3"/>
  <c r="Z96" i="3"/>
  <c r="AI96" i="3"/>
  <c r="T96" i="3"/>
  <c r="N96" i="3"/>
  <c r="AM96" i="3"/>
  <c r="AK96" i="3"/>
  <c r="AJ96" i="3"/>
  <c r="AC96" i="3"/>
  <c r="P96" i="3"/>
  <c r="Y96" i="3"/>
  <c r="X96" i="3"/>
  <c r="U96" i="3"/>
  <c r="O96" i="3"/>
  <c r="M96" i="3"/>
  <c r="K96" i="3"/>
  <c r="AG96" i="3"/>
  <c r="AF96" i="3"/>
  <c r="AE96" i="3"/>
  <c r="AD138" i="3"/>
  <c r="AB138" i="3"/>
  <c r="AN138" i="3"/>
  <c r="T138" i="3"/>
  <c r="U138" i="3"/>
  <c r="S138" i="3"/>
  <c r="AH138" i="3"/>
  <c r="K138" i="3"/>
  <c r="N138" i="3"/>
  <c r="X138" i="3"/>
  <c r="W138" i="3"/>
  <c r="AS138" i="3"/>
  <c r="R138" i="3"/>
  <c r="M138" i="3"/>
  <c r="AM138" i="3"/>
  <c r="L138" i="3"/>
  <c r="AE138" i="3"/>
  <c r="AC138" i="3"/>
  <c r="P138" i="3"/>
  <c r="AJ138" i="3"/>
  <c r="AK138" i="3"/>
  <c r="AG138" i="3"/>
  <c r="AF138" i="3"/>
  <c r="AA138" i="3"/>
  <c r="Q138" i="3"/>
  <c r="Y138" i="3"/>
  <c r="Z138" i="3"/>
  <c r="V138" i="3"/>
  <c r="O138" i="3"/>
  <c r="AJ46" i="3"/>
  <c r="P46" i="3"/>
  <c r="AK46" i="3"/>
  <c r="O46" i="3"/>
  <c r="AC46" i="3"/>
  <c r="V46" i="3"/>
  <c r="AE46" i="3"/>
  <c r="W46" i="3"/>
  <c r="T46" i="3"/>
  <c r="S46" i="3"/>
  <c r="Q46" i="3"/>
  <c r="K46" i="3"/>
  <c r="AN46" i="3"/>
  <c r="AH46" i="3"/>
  <c r="AG46" i="3"/>
  <c r="AA46" i="3"/>
  <c r="Z46" i="3"/>
  <c r="R46" i="3"/>
  <c r="AS46" i="3"/>
  <c r="AI46" i="3"/>
  <c r="X46" i="3"/>
  <c r="X27" i="3"/>
  <c r="AK27" i="3"/>
  <c r="Q27" i="3"/>
  <c r="AI27" i="3"/>
  <c r="O27" i="3"/>
  <c r="AH27" i="3"/>
  <c r="N27" i="3"/>
  <c r="S27" i="3"/>
  <c r="R27" i="3"/>
  <c r="AJ27" i="3"/>
  <c r="AC27" i="3"/>
  <c r="AB27" i="3"/>
  <c r="W27" i="3"/>
  <c r="AN27" i="3"/>
  <c r="AM27" i="3"/>
  <c r="AG27" i="3"/>
  <c r="AF27" i="3"/>
  <c r="AA27" i="3"/>
  <c r="T27" i="3"/>
  <c r="AJ24" i="3"/>
  <c r="P28" i="3"/>
  <c r="N43" i="3"/>
  <c r="L46" i="3"/>
  <c r="AJ12" i="3"/>
  <c r="K27" i="3"/>
  <c r="S28" i="3"/>
  <c r="AJ31" i="3"/>
  <c r="P31" i="3"/>
  <c r="AC31" i="3"/>
  <c r="AA31" i="3"/>
  <c r="Z31" i="3"/>
  <c r="AK31" i="3"/>
  <c r="L31" i="3"/>
  <c r="AI31" i="3"/>
  <c r="K31" i="3"/>
  <c r="AD31" i="3"/>
  <c r="AB31" i="3"/>
  <c r="V31" i="3"/>
  <c r="AS31" i="3"/>
  <c r="U31" i="3"/>
  <c r="Q31" i="3"/>
  <c r="W31" i="3"/>
  <c r="T31" i="3"/>
  <c r="R31" i="3"/>
  <c r="O31" i="3"/>
  <c r="AM31" i="3"/>
  <c r="M46" i="3"/>
  <c r="AS63" i="3"/>
  <c r="Y63" i="3"/>
  <c r="AD63" i="3"/>
  <c r="W63" i="3"/>
  <c r="AA63" i="3"/>
  <c r="AM63" i="3"/>
  <c r="P63" i="3"/>
  <c r="T63" i="3"/>
  <c r="AK63" i="3"/>
  <c r="L63" i="3"/>
  <c r="AJ63" i="3"/>
  <c r="K63" i="3"/>
  <c r="AC63" i="3"/>
  <c r="O63" i="3"/>
  <c r="AI63" i="3"/>
  <c r="AG63" i="3"/>
  <c r="AF63" i="3"/>
  <c r="AB63" i="3"/>
  <c r="AN63" i="3"/>
  <c r="AL63" i="3"/>
  <c r="X63" i="3"/>
  <c r="V63" i="3"/>
  <c r="Q63" i="3"/>
  <c r="N63" i="3"/>
  <c r="S63" i="3"/>
  <c r="AC90" i="3"/>
  <c r="AF90" i="3"/>
  <c r="K90" i="3"/>
  <c r="AE90" i="3"/>
  <c r="AM90" i="3"/>
  <c r="P90" i="3"/>
  <c r="AL90" i="3"/>
  <c r="O90" i="3"/>
  <c r="T90" i="3"/>
  <c r="U90" i="3"/>
  <c r="AN90" i="3"/>
  <c r="L90" i="3"/>
  <c r="AA90" i="3"/>
  <c r="N90" i="3"/>
  <c r="Y90" i="3"/>
  <c r="AS90" i="3"/>
  <c r="M90" i="3"/>
  <c r="AI90" i="3"/>
  <c r="AB90" i="3"/>
  <c r="R90" i="3"/>
  <c r="Q90" i="3"/>
  <c r="AK90" i="3"/>
  <c r="AJ90" i="3"/>
  <c r="AH90" i="3"/>
  <c r="AG90" i="3"/>
  <c r="AD90" i="3"/>
  <c r="Z90" i="3"/>
  <c r="X90" i="3"/>
  <c r="AM32" i="3"/>
  <c r="S32" i="3"/>
  <c r="AF32" i="3"/>
  <c r="L32" i="3"/>
  <c r="AD32" i="3"/>
  <c r="AC32" i="3"/>
  <c r="V32" i="3"/>
  <c r="AS32" i="3"/>
  <c r="U32" i="3"/>
  <c r="AN32" i="3"/>
  <c r="O32" i="3"/>
  <c r="AL32" i="3"/>
  <c r="N32" i="3"/>
  <c r="AH32" i="3"/>
  <c r="AG32" i="3"/>
  <c r="Z32" i="3"/>
  <c r="R32" i="3"/>
  <c r="Q32" i="3"/>
  <c r="M32" i="3"/>
  <c r="K32" i="3"/>
  <c r="AI32" i="3"/>
  <c r="AA43" i="3"/>
  <c r="V43" i="3"/>
  <c r="AJ43" i="3"/>
  <c r="O43" i="3"/>
  <c r="AC43" i="3"/>
  <c r="AS43" i="3"/>
  <c r="U43" i="3"/>
  <c r="AL43" i="3"/>
  <c r="M43" i="3"/>
  <c r="AI43" i="3"/>
  <c r="K43" i="3"/>
  <c r="AH43" i="3"/>
  <c r="AK43" i="3"/>
  <c r="AG43" i="3"/>
  <c r="AF43" i="3"/>
  <c r="Z43" i="3"/>
  <c r="Y43" i="3"/>
  <c r="S43" i="3"/>
  <c r="R43" i="3"/>
  <c r="L43" i="3"/>
  <c r="AE43" i="3"/>
  <c r="AD43" i="3"/>
  <c r="X43" i="3"/>
  <c r="W43" i="3"/>
  <c r="P43" i="3"/>
  <c r="AK12" i="3"/>
  <c r="AL12" i="3"/>
  <c r="AM16" i="3"/>
  <c r="L20" i="3"/>
  <c r="L27" i="3"/>
  <c r="U28" i="3"/>
  <c r="AF37" i="3"/>
  <c r="L37" i="3"/>
  <c r="AS37" i="3"/>
  <c r="AJ37" i="3"/>
  <c r="O37" i="3"/>
  <c r="AB37" i="3"/>
  <c r="Z37" i="3"/>
  <c r="Y37" i="3"/>
  <c r="AI37" i="3"/>
  <c r="AH37" i="3"/>
  <c r="AA37" i="3"/>
  <c r="X37" i="3"/>
  <c r="T37" i="3"/>
  <c r="AN37" i="3"/>
  <c r="N37" i="3"/>
  <c r="V37" i="3"/>
  <c r="U37" i="3"/>
  <c r="S37" i="3"/>
  <c r="R37" i="3"/>
  <c r="Q37" i="3"/>
  <c r="K37" i="3"/>
  <c r="AM37" i="3"/>
  <c r="T43" i="3"/>
  <c r="N46" i="3"/>
  <c r="V55" i="3"/>
  <c r="AL138" i="3"/>
  <c r="AG12" i="3"/>
  <c r="AL16" i="3"/>
  <c r="AN12" i="3"/>
  <c r="AN16" i="3"/>
  <c r="AN24" i="3"/>
  <c r="M27" i="3"/>
  <c r="Y28" i="3"/>
  <c r="L35" i="3"/>
  <c r="AB43" i="3"/>
  <c r="U46" i="3"/>
  <c r="P27" i="3"/>
  <c r="Z28" i="3"/>
  <c r="M35" i="3"/>
  <c r="Z40" i="3"/>
  <c r="AM43" i="3"/>
  <c r="Y46" i="3"/>
  <c r="AB50" i="3"/>
  <c r="AJ50" i="3"/>
  <c r="O50" i="3"/>
  <c r="AC50" i="3"/>
  <c r="U50" i="3"/>
  <c r="AA50" i="3"/>
  <c r="S50" i="3"/>
  <c r="Q50" i="3"/>
  <c r="AN50" i="3"/>
  <c r="P50" i="3"/>
  <c r="AL50" i="3"/>
  <c r="M50" i="3"/>
  <c r="AI50" i="3"/>
  <c r="AH50" i="3"/>
  <c r="AG50" i="3"/>
  <c r="Z50" i="3"/>
  <c r="Y50" i="3"/>
  <c r="T50" i="3"/>
  <c r="R50" i="3"/>
  <c r="AE50" i="3"/>
  <c r="AD50" i="3"/>
  <c r="X50" i="3"/>
  <c r="W50" i="3"/>
  <c r="V50" i="3"/>
  <c r="K50" i="3"/>
  <c r="Y55" i="3"/>
  <c r="AN80" i="3"/>
  <c r="T80" i="3"/>
  <c r="AS80" i="3"/>
  <c r="X80" i="3"/>
  <c r="AC80" i="3"/>
  <c r="AA80" i="3"/>
  <c r="S80" i="3"/>
  <c r="AF80" i="3"/>
  <c r="R80" i="3"/>
  <c r="AE80" i="3"/>
  <c r="U80" i="3"/>
  <c r="Q80" i="3"/>
  <c r="AL80" i="3"/>
  <c r="K80" i="3"/>
  <c r="AG80" i="3"/>
  <c r="AD80" i="3"/>
  <c r="Z80" i="3"/>
  <c r="Y80" i="3"/>
  <c r="V80" i="3"/>
  <c r="AM80" i="3"/>
  <c r="AK80" i="3"/>
  <c r="AJ80" i="3"/>
  <c r="AH80" i="3"/>
  <c r="AB80" i="3"/>
  <c r="N80" i="3"/>
  <c r="M80" i="3"/>
  <c r="L80" i="3"/>
  <c r="AA99" i="3"/>
  <c r="T99" i="3"/>
  <c r="AL99" i="3"/>
  <c r="P99" i="3"/>
  <c r="AK99" i="3"/>
  <c r="O99" i="3"/>
  <c r="AC99" i="3"/>
  <c r="AB99" i="3"/>
  <c r="AG99" i="3"/>
  <c r="X99" i="3"/>
  <c r="Q99" i="3"/>
  <c r="AF99" i="3"/>
  <c r="U99" i="3"/>
  <c r="R99" i="3"/>
  <c r="Y99" i="3"/>
  <c r="AS99" i="3"/>
  <c r="K99" i="3"/>
  <c r="AJ99" i="3"/>
  <c r="AN99" i="3"/>
  <c r="AM99" i="3"/>
  <c r="AH99" i="3"/>
  <c r="AE99" i="3"/>
  <c r="Z99" i="3"/>
  <c r="S99" i="3"/>
  <c r="N99" i="3"/>
  <c r="M99" i="3"/>
  <c r="L99" i="3"/>
  <c r="AI99" i="3"/>
  <c r="AD99" i="3"/>
  <c r="W99" i="3"/>
  <c r="Z110" i="3"/>
  <c r="X110" i="3"/>
  <c r="U110" i="3"/>
  <c r="AG110" i="3"/>
  <c r="AS110" i="3"/>
  <c r="V110" i="3"/>
  <c r="T110" i="3"/>
  <c r="AL110" i="3"/>
  <c r="N110" i="3"/>
  <c r="AK110" i="3"/>
  <c r="M110" i="3"/>
  <c r="AE110" i="3"/>
  <c r="AD110" i="3"/>
  <c r="AJ110" i="3"/>
  <c r="S110" i="3"/>
  <c r="K110" i="3"/>
  <c r="AF110" i="3"/>
  <c r="AH110" i="3"/>
  <c r="AB110" i="3"/>
  <c r="AA110" i="3"/>
  <c r="AM110" i="3"/>
  <c r="AI110" i="3"/>
  <c r="AC110" i="3"/>
  <c r="W110" i="3"/>
  <c r="P110" i="3"/>
  <c r="AN110" i="3"/>
  <c r="R110" i="3"/>
  <c r="Y110" i="3"/>
  <c r="Q110" i="3"/>
  <c r="O110" i="3"/>
  <c r="AA117" i="3"/>
  <c r="AS117" i="3"/>
  <c r="Y117" i="3"/>
  <c r="W117" i="3"/>
  <c r="V117" i="3"/>
  <c r="X117" i="3"/>
  <c r="U117" i="3"/>
  <c r="AM117" i="3"/>
  <c r="O117" i="3"/>
  <c r="AL117" i="3"/>
  <c r="N117" i="3"/>
  <c r="AE117" i="3"/>
  <c r="AD117" i="3"/>
  <c r="AI117" i="3"/>
  <c r="S117" i="3"/>
  <c r="Q117" i="3"/>
  <c r="K117" i="3"/>
  <c r="AG117" i="3"/>
  <c r="L117" i="3"/>
  <c r="AK117" i="3"/>
  <c r="AJ117" i="3"/>
  <c r="P117" i="3"/>
  <c r="AF117" i="3"/>
  <c r="AB117" i="3"/>
  <c r="Z117" i="3"/>
  <c r="AC117" i="3"/>
  <c r="T117" i="3"/>
  <c r="R117" i="3"/>
  <c r="M117" i="3"/>
  <c r="AN117" i="3"/>
  <c r="AA20" i="3"/>
  <c r="V27" i="3"/>
  <c r="AJ28" i="3"/>
  <c r="P32" i="3"/>
  <c r="P35" i="3"/>
  <c r="AD46" i="3"/>
  <c r="U97" i="3"/>
  <c r="AG97" i="3"/>
  <c r="L97" i="3"/>
  <c r="Z97" i="3"/>
  <c r="Y97" i="3"/>
  <c r="AH97" i="3"/>
  <c r="AF97" i="3"/>
  <c r="AL97" i="3"/>
  <c r="N97" i="3"/>
  <c r="W97" i="3"/>
  <c r="P97" i="3"/>
  <c r="AB97" i="3"/>
  <c r="AS97" i="3"/>
  <c r="Q97" i="3"/>
  <c r="M97" i="3"/>
  <c r="K97" i="3"/>
  <c r="AK97" i="3"/>
  <c r="AJ97" i="3"/>
  <c r="AI97" i="3"/>
  <c r="X97" i="3"/>
  <c r="AC97" i="3"/>
  <c r="O97" i="3"/>
  <c r="AN97" i="3"/>
  <c r="AM97" i="3"/>
  <c r="AE97" i="3"/>
  <c r="AD97" i="3"/>
  <c r="V97" i="3"/>
  <c r="T97" i="3"/>
  <c r="S97" i="3"/>
  <c r="R97" i="3"/>
  <c r="AD44" i="3"/>
  <c r="Z44" i="3"/>
  <c r="AN44" i="3"/>
  <c r="S44" i="3"/>
  <c r="AG44" i="3"/>
  <c r="L44" i="3"/>
  <c r="AF44" i="3"/>
  <c r="W44" i="3"/>
  <c r="AS44" i="3"/>
  <c r="U44" i="3"/>
  <c r="T44" i="3"/>
  <c r="AB44" i="3"/>
  <c r="AA44" i="3"/>
  <c r="Y44" i="3"/>
  <c r="Q44" i="3"/>
  <c r="P44" i="3"/>
  <c r="K44" i="3"/>
  <c r="AM44" i="3"/>
  <c r="AI44" i="3"/>
  <c r="AL44" i="3"/>
  <c r="AK44" i="3"/>
  <c r="AJ44" i="3"/>
  <c r="AH44" i="3"/>
  <c r="X44" i="3"/>
  <c r="M44" i="3"/>
  <c r="AB46" i="3"/>
  <c r="K7" i="3"/>
  <c r="Y27" i="3"/>
  <c r="AM28" i="3"/>
  <c r="AD29" i="3"/>
  <c r="W29" i="3"/>
  <c r="U29" i="3"/>
  <c r="AN29" i="3"/>
  <c r="T29" i="3"/>
  <c r="P29" i="3"/>
  <c r="AM29" i="3"/>
  <c r="O29" i="3"/>
  <c r="AH29" i="3"/>
  <c r="AG29" i="3"/>
  <c r="AB29" i="3"/>
  <c r="AA29" i="3"/>
  <c r="AS29" i="3"/>
  <c r="V29" i="3"/>
  <c r="AE29" i="3"/>
  <c r="AC29" i="3"/>
  <c r="Y29" i="3"/>
  <c r="X29" i="3"/>
  <c r="Q29" i="3"/>
  <c r="T32" i="3"/>
  <c r="AI39" i="3"/>
  <c r="AM39" i="3"/>
  <c r="R39" i="3"/>
  <c r="AE39" i="3"/>
  <c r="K39" i="3"/>
  <c r="AB39" i="3"/>
  <c r="U39" i="3"/>
  <c r="S39" i="3"/>
  <c r="Q39" i="3"/>
  <c r="M39" i="3"/>
  <c r="AN39" i="3"/>
  <c r="L39" i="3"/>
  <c r="AG39" i="3"/>
  <c r="AF39" i="3"/>
  <c r="Z39" i="3"/>
  <c r="Y39" i="3"/>
  <c r="T39" i="3"/>
  <c r="V39" i="3"/>
  <c r="P39" i="3"/>
  <c r="O39" i="3"/>
  <c r="N39" i="3"/>
  <c r="AS39" i="3"/>
  <c r="AK39" i="3"/>
  <c r="L42" i="3"/>
  <c r="AF46" i="3"/>
  <c r="Z27" i="3"/>
  <c r="W32" i="3"/>
  <c r="AL46" i="3"/>
  <c r="AH52" i="3"/>
  <c r="N52" i="3"/>
  <c r="Y52" i="3"/>
  <c r="AM52" i="3"/>
  <c r="R52" i="3"/>
  <c r="AL52" i="3"/>
  <c r="Q52" i="3"/>
  <c r="AE52" i="3"/>
  <c r="AA52" i="3"/>
  <c r="S52" i="3"/>
  <c r="O52" i="3"/>
  <c r="M52" i="3"/>
  <c r="AK52" i="3"/>
  <c r="K52" i="3"/>
  <c r="X52" i="3"/>
  <c r="W52" i="3"/>
  <c r="V52" i="3"/>
  <c r="L52" i="3"/>
  <c r="AS52" i="3"/>
  <c r="AN52" i="3"/>
  <c r="AJ52" i="3"/>
  <c r="AD52" i="3"/>
  <c r="AF52" i="3"/>
  <c r="T52" i="3"/>
  <c r="W55" i="3"/>
  <c r="AK55" i="3"/>
  <c r="S55" i="3"/>
  <c r="AG55" i="3"/>
  <c r="L55" i="3"/>
  <c r="AF55" i="3"/>
  <c r="K55" i="3"/>
  <c r="Z55" i="3"/>
  <c r="Q55" i="3"/>
  <c r="AI55" i="3"/>
  <c r="AE55" i="3"/>
  <c r="AD55" i="3"/>
  <c r="AB55" i="3"/>
  <c r="AN55" i="3"/>
  <c r="AM55" i="3"/>
  <c r="AC55" i="3"/>
  <c r="AA55" i="3"/>
  <c r="U55" i="3"/>
  <c r="T55" i="3"/>
  <c r="AS55" i="3"/>
  <c r="N55" i="3"/>
  <c r="O55" i="3"/>
  <c r="M55" i="3"/>
  <c r="AL55" i="3"/>
  <c r="AB35" i="3"/>
  <c r="U35" i="3"/>
  <c r="AM35" i="3"/>
  <c r="S35" i="3"/>
  <c r="AL35" i="3"/>
  <c r="R35" i="3"/>
  <c r="AI35" i="3"/>
  <c r="K35" i="3"/>
  <c r="AH35" i="3"/>
  <c r="AC35" i="3"/>
  <c r="AA35" i="3"/>
  <c r="W35" i="3"/>
  <c r="AS35" i="3"/>
  <c r="V35" i="3"/>
  <c r="O35" i="3"/>
  <c r="AN35" i="3"/>
  <c r="AG35" i="3"/>
  <c r="Y35" i="3"/>
  <c r="X42" i="3"/>
  <c r="AM42" i="3"/>
  <c r="R42" i="3"/>
  <c r="AF42" i="3"/>
  <c r="K42" i="3"/>
  <c r="AS42" i="3"/>
  <c r="Y42" i="3"/>
  <c r="AI42" i="3"/>
  <c r="AA42" i="3"/>
  <c r="W42" i="3"/>
  <c r="V42" i="3"/>
  <c r="N42" i="3"/>
  <c r="M42" i="3"/>
  <c r="AJ42" i="3"/>
  <c r="AH42" i="3"/>
  <c r="AC42" i="3"/>
  <c r="AB42" i="3"/>
  <c r="S42" i="3"/>
  <c r="Z42" i="3"/>
  <c r="U42" i="3"/>
  <c r="T42" i="3"/>
  <c r="Q42" i="3"/>
  <c r="P42" i="3"/>
  <c r="T35" i="3"/>
  <c r="AD27" i="3"/>
  <c r="M31" i="3"/>
  <c r="X32" i="3"/>
  <c r="X35" i="3"/>
  <c r="W39" i="3"/>
  <c r="AD42" i="3"/>
  <c r="AM46" i="3"/>
  <c r="N65" i="3"/>
  <c r="V24" i="3"/>
  <c r="L13" i="3"/>
  <c r="N35" i="3"/>
  <c r="AN43" i="3"/>
  <c r="X16" i="3"/>
  <c r="AG16" i="3"/>
  <c r="L16" i="3"/>
  <c r="AF16" i="3"/>
  <c r="K16" i="3"/>
  <c r="AA16" i="3"/>
  <c r="U16" i="3"/>
  <c r="T16" i="3"/>
  <c r="AK16" i="3"/>
  <c r="P16" i="3"/>
  <c r="W16" i="3"/>
  <c r="V16" i="3"/>
  <c r="R16" i="3"/>
  <c r="AS16" i="3"/>
  <c r="Q16" i="3"/>
  <c r="M16" i="3"/>
  <c r="AI16" i="3"/>
  <c r="B5" i="5"/>
  <c r="K12" i="3"/>
  <c r="I13" i="3"/>
  <c r="N16" i="3"/>
  <c r="AE27" i="3"/>
  <c r="N31" i="3"/>
  <c r="Z35" i="3"/>
  <c r="AE42" i="3"/>
  <c r="P52" i="3"/>
  <c r="O12" i="3"/>
  <c r="AL27" i="3"/>
  <c r="U52" i="3"/>
  <c r="AC57" i="3"/>
  <c r="AH57" i="3"/>
  <c r="AS57" i="3"/>
  <c r="X57" i="3"/>
  <c r="AE57" i="3"/>
  <c r="V57" i="3"/>
  <c r="U57" i="3"/>
  <c r="AL57" i="3"/>
  <c r="O57" i="3"/>
  <c r="R57" i="3"/>
  <c r="AK57" i="3"/>
  <c r="AI57" i="3"/>
  <c r="AG57" i="3"/>
  <c r="AD57" i="3"/>
  <c r="AA57" i="3"/>
  <c r="Z57" i="3"/>
  <c r="Y57" i="3"/>
  <c r="Q57" i="3"/>
  <c r="P57" i="3"/>
  <c r="K57" i="3"/>
  <c r="AM57" i="3"/>
  <c r="AN57" i="3"/>
  <c r="AJ57" i="3"/>
  <c r="AF57" i="3"/>
  <c r="AB57" i="3"/>
  <c r="S57" i="3"/>
  <c r="X65" i="3"/>
  <c r="U87" i="3"/>
  <c r="AN87" i="3"/>
  <c r="T87" i="3"/>
  <c r="R87" i="3"/>
  <c r="AM87" i="3"/>
  <c r="Q87" i="3"/>
  <c r="AS87" i="3"/>
  <c r="X87" i="3"/>
  <c r="AF87" i="3"/>
  <c r="Z87" i="3"/>
  <c r="AD87" i="3"/>
  <c r="O87" i="3"/>
  <c r="P87" i="3"/>
  <c r="AK87" i="3"/>
  <c r="AJ87" i="3"/>
  <c r="AB87" i="3"/>
  <c r="AI87" i="3"/>
  <c r="Y87" i="3"/>
  <c r="W87" i="3"/>
  <c r="S87" i="3"/>
  <c r="N87" i="3"/>
  <c r="L87" i="3"/>
  <c r="AA87" i="3"/>
  <c r="V87" i="3"/>
  <c r="M87" i="3"/>
  <c r="AH87" i="3"/>
  <c r="AG87" i="3"/>
  <c r="AE87" i="3"/>
  <c r="K87" i="3"/>
  <c r="P12" i="3"/>
  <c r="S16" i="3"/>
  <c r="X31" i="3"/>
  <c r="AB32" i="3"/>
  <c r="AE35" i="3"/>
  <c r="M37" i="3"/>
  <c r="AC39" i="3"/>
  <c r="AK42" i="3"/>
  <c r="O44" i="3"/>
  <c r="Z52" i="3"/>
  <c r="U61" i="3"/>
  <c r="AI61" i="3"/>
  <c r="AG61" i="3"/>
  <c r="L61" i="3"/>
  <c r="AS61" i="3"/>
  <c r="X61" i="3"/>
  <c r="V61" i="3"/>
  <c r="AL61" i="3"/>
  <c r="N61" i="3"/>
  <c r="AK61" i="3"/>
  <c r="M61" i="3"/>
  <c r="AC61" i="3"/>
  <c r="AJ61" i="3"/>
  <c r="Z61" i="3"/>
  <c r="W61" i="3"/>
  <c r="T61" i="3"/>
  <c r="R61" i="3"/>
  <c r="P61" i="3"/>
  <c r="O61" i="3"/>
  <c r="K61" i="3"/>
  <c r="AH61" i="3"/>
  <c r="AF61" i="3"/>
  <c r="AA61" i="3"/>
  <c r="Y61" i="3"/>
  <c r="AD61" i="3"/>
  <c r="AD65" i="3"/>
  <c r="AI85" i="3"/>
  <c r="O85" i="3"/>
  <c r="AA85" i="3"/>
  <c r="Z85" i="3"/>
  <c r="AE85" i="3"/>
  <c r="AD85" i="3"/>
  <c r="V85" i="3"/>
  <c r="U85" i="3"/>
  <c r="AL85" i="3"/>
  <c r="K85" i="3"/>
  <c r="AJ85" i="3"/>
  <c r="X85" i="3"/>
  <c r="W85" i="3"/>
  <c r="N85" i="3"/>
  <c r="AF85" i="3"/>
  <c r="AC85" i="3"/>
  <c r="Y85" i="3"/>
  <c r="T85" i="3"/>
  <c r="R85" i="3"/>
  <c r="AS85" i="3"/>
  <c r="AM85" i="3"/>
  <c r="AK85" i="3"/>
  <c r="AH85" i="3"/>
  <c r="AG85" i="3"/>
  <c r="AB85" i="3"/>
  <c r="S85" i="3"/>
  <c r="Q85" i="3"/>
  <c r="O24" i="3"/>
  <c r="Z24" i="3"/>
  <c r="Y24" i="3"/>
  <c r="AF24" i="3"/>
  <c r="AE24" i="3"/>
  <c r="R24" i="3"/>
  <c r="Q24" i="3"/>
  <c r="AK24" i="3"/>
  <c r="AD24" i="3"/>
  <c r="X24" i="3"/>
  <c r="T24" i="3"/>
  <c r="K24" i="3"/>
  <c r="AG30" i="3"/>
  <c r="M30" i="3"/>
  <c r="Z30" i="3"/>
  <c r="X30" i="3"/>
  <c r="W30" i="3"/>
  <c r="AB30" i="3"/>
  <c r="AA30" i="3"/>
  <c r="S30" i="3"/>
  <c r="R30" i="3"/>
  <c r="AL30" i="3"/>
  <c r="N30" i="3"/>
  <c r="AK30" i="3"/>
  <c r="L30" i="3"/>
  <c r="AF30" i="3"/>
  <c r="AC30" i="3"/>
  <c r="Y30" i="3"/>
  <c r="U30" i="3"/>
  <c r="T30" i="3"/>
  <c r="O30" i="3"/>
  <c r="Y32" i="3"/>
  <c r="AL40" i="3"/>
  <c r="R40" i="3"/>
  <c r="W40" i="3"/>
  <c r="AJ40" i="3"/>
  <c r="O40" i="3"/>
  <c r="AM40" i="3"/>
  <c r="N40" i="3"/>
  <c r="AD40" i="3"/>
  <c r="AB40" i="3"/>
  <c r="AA40" i="3"/>
  <c r="AF40" i="3"/>
  <c r="AE40" i="3"/>
  <c r="V40" i="3"/>
  <c r="U40" i="3"/>
  <c r="P40" i="3"/>
  <c r="M40" i="3"/>
  <c r="AK40" i="3"/>
  <c r="T40" i="3"/>
  <c r="S40" i="3"/>
  <c r="Q40" i="3"/>
  <c r="L40" i="3"/>
  <c r="K40" i="3"/>
  <c r="AS40" i="3"/>
  <c r="AN40" i="3"/>
  <c r="T65" i="3"/>
  <c r="K13" i="3"/>
  <c r="O16" i="3"/>
  <c r="AG20" i="3"/>
  <c r="I24" i="3"/>
  <c r="AS28" i="3"/>
  <c r="S31" i="3"/>
  <c r="AA32" i="3"/>
  <c r="AD35" i="3"/>
  <c r="AA39" i="3"/>
  <c r="AG42" i="3"/>
  <c r="N44" i="3"/>
  <c r="Q12" i="3"/>
  <c r="Y16" i="3"/>
  <c r="L23" i="3"/>
  <c r="AS23" i="3"/>
  <c r="N24" i="3"/>
  <c r="P30" i="3"/>
  <c r="Y31" i="3"/>
  <c r="AE32" i="3"/>
  <c r="AF35" i="3"/>
  <c r="P37" i="3"/>
  <c r="AD39" i="3"/>
  <c r="U41" i="3"/>
  <c r="AI41" i="3"/>
  <c r="N41" i="3"/>
  <c r="AB41" i="3"/>
  <c r="T41" i="3"/>
  <c r="Y41" i="3"/>
  <c r="AN41" i="3"/>
  <c r="P41" i="3"/>
  <c r="AL41" i="3"/>
  <c r="M41" i="3"/>
  <c r="AK41" i="3"/>
  <c r="L41" i="3"/>
  <c r="X41" i="3"/>
  <c r="W41" i="3"/>
  <c r="O41" i="3"/>
  <c r="K41" i="3"/>
  <c r="AJ41" i="3"/>
  <c r="AH41" i="3"/>
  <c r="AD41" i="3"/>
  <c r="Z41" i="3"/>
  <c r="V41" i="3"/>
  <c r="S41" i="3"/>
  <c r="R41" i="3"/>
  <c r="Q41" i="3"/>
  <c r="AL42" i="3"/>
  <c r="R44" i="3"/>
  <c r="AB52" i="3"/>
  <c r="AE65" i="3"/>
  <c r="AJ72" i="3"/>
  <c r="P72" i="3"/>
  <c r="Y72" i="3"/>
  <c r="AS72" i="3"/>
  <c r="W72" i="3"/>
  <c r="AM72" i="3"/>
  <c r="Q72" i="3"/>
  <c r="Z72" i="3"/>
  <c r="AL72" i="3"/>
  <c r="M72" i="3"/>
  <c r="AB72" i="3"/>
  <c r="R72" i="3"/>
  <c r="O72" i="3"/>
  <c r="AH72" i="3"/>
  <c r="T72" i="3"/>
  <c r="AK72" i="3"/>
  <c r="AI72" i="3"/>
  <c r="AF72" i="3"/>
  <c r="AN72" i="3"/>
  <c r="AG72" i="3"/>
  <c r="AE72" i="3"/>
  <c r="X72" i="3"/>
  <c r="V72" i="3"/>
  <c r="U72" i="3"/>
  <c r="S72" i="3"/>
  <c r="L72" i="3"/>
  <c r="K72" i="3"/>
  <c r="AD72" i="3"/>
  <c r="AC72" i="3"/>
  <c r="T12" i="3"/>
  <c r="Z16" i="3"/>
  <c r="AN20" i="3"/>
  <c r="P24" i="3"/>
  <c r="K29" i="3"/>
  <c r="Q30" i="3"/>
  <c r="AE31" i="3"/>
  <c r="AJ32" i="3"/>
  <c r="AJ35" i="3"/>
  <c r="W37" i="3"/>
  <c r="AH39" i="3"/>
  <c r="AN42" i="3"/>
  <c r="V44" i="3"/>
  <c r="AS50" i="3"/>
  <c r="AC52" i="3"/>
  <c r="Q61" i="3"/>
  <c r="M63" i="3"/>
  <c r="AF65" i="3"/>
  <c r="AS12" i="3"/>
  <c r="U12" i="3"/>
  <c r="AB16" i="3"/>
  <c r="AS27" i="3"/>
  <c r="AF31" i="3"/>
  <c r="AK32" i="3"/>
  <c r="AK35" i="3"/>
  <c r="AC37" i="3"/>
  <c r="AC44" i="3"/>
  <c r="AG52" i="3"/>
  <c r="R63" i="3"/>
  <c r="G22" i="3"/>
  <c r="AP22" i="3" s="1"/>
  <c r="G11" i="3"/>
  <c r="G8" i="3"/>
  <c r="G21" i="3"/>
  <c r="AP21" i="3" s="1"/>
  <c r="G18" i="3"/>
  <c r="AP18" i="3" s="1"/>
  <c r="G9" i="3"/>
  <c r="AP9" i="3" s="1"/>
  <c r="AA34" i="3"/>
  <c r="AE51" i="3"/>
  <c r="K51" i="3"/>
  <c r="T51" i="3"/>
  <c r="AH51" i="3"/>
  <c r="M51" i="3"/>
  <c r="Z51" i="3"/>
  <c r="AN51" i="3"/>
  <c r="P51" i="3"/>
  <c r="AF51" i="3"/>
  <c r="AC51" i="3"/>
  <c r="AB51" i="3"/>
  <c r="Y51" i="3"/>
  <c r="AD51" i="3"/>
  <c r="AA51" i="3"/>
  <c r="X51" i="3"/>
  <c r="S51" i="3"/>
  <c r="R51" i="3"/>
  <c r="L51" i="3"/>
  <c r="AK51" i="3"/>
  <c r="U51" i="3"/>
  <c r="AK53" i="3"/>
  <c r="Q53" i="3"/>
  <c r="AD53" i="3"/>
  <c r="W53" i="3"/>
  <c r="V53" i="3"/>
  <c r="AJ53" i="3"/>
  <c r="O53" i="3"/>
  <c r="N53" i="3"/>
  <c r="AF53" i="3"/>
  <c r="AC53" i="3"/>
  <c r="AB53" i="3"/>
  <c r="Z53" i="3"/>
  <c r="R53" i="3"/>
  <c r="P53" i="3"/>
  <c r="AS53" i="3"/>
  <c r="M53" i="3"/>
  <c r="AN53" i="3"/>
  <c r="AH53" i="3"/>
  <c r="AG53" i="3"/>
  <c r="X53" i="3"/>
  <c r="Z56" i="3"/>
  <c r="T56" i="3"/>
  <c r="Y56" i="3"/>
  <c r="AM56" i="3"/>
  <c r="Q56" i="3"/>
  <c r="AL56" i="3"/>
  <c r="P56" i="3"/>
  <c r="AF56" i="3"/>
  <c r="AE56" i="3"/>
  <c r="V56" i="3"/>
  <c r="AS56" i="3"/>
  <c r="S56" i="3"/>
  <c r="R56" i="3"/>
  <c r="N56" i="3"/>
  <c r="AI56" i="3"/>
  <c r="AH56" i="3"/>
  <c r="AG56" i="3"/>
  <c r="AA56" i="3"/>
  <c r="X56" i="3"/>
  <c r="M56" i="3"/>
  <c r="L56" i="3"/>
  <c r="AS34" i="3"/>
  <c r="Y34" i="3"/>
  <c r="AL34" i="3"/>
  <c r="R34" i="3"/>
  <c r="AJ34" i="3"/>
  <c r="P34" i="3"/>
  <c r="AI34" i="3"/>
  <c r="O34" i="3"/>
  <c r="W34" i="3"/>
  <c r="V34" i="3"/>
  <c r="N34" i="3"/>
  <c r="AN34" i="3"/>
  <c r="M34" i="3"/>
  <c r="AG34" i="3"/>
  <c r="AF34" i="3"/>
  <c r="AB34" i="3"/>
  <c r="AK79" i="3"/>
  <c r="Q79" i="3"/>
  <c r="AN79" i="3"/>
  <c r="S79" i="3"/>
  <c r="AS79" i="3"/>
  <c r="X79" i="3"/>
  <c r="P79" i="3"/>
  <c r="AG79" i="3"/>
  <c r="R79" i="3"/>
  <c r="AE79" i="3"/>
  <c r="L79" i="3"/>
  <c r="AD79" i="3"/>
  <c r="AC79" i="3"/>
  <c r="V79" i="3"/>
  <c r="K79" i="3"/>
  <c r="AJ79" i="3"/>
  <c r="AI79" i="3"/>
  <c r="AF79" i="3"/>
  <c r="AB79" i="3"/>
  <c r="Z79" i="3"/>
  <c r="AL79" i="3"/>
  <c r="AH79" i="3"/>
  <c r="AA79" i="3"/>
  <c r="Y79" i="3"/>
  <c r="U79" i="3"/>
  <c r="T79" i="3"/>
  <c r="AI113" i="3"/>
  <c r="O113" i="3"/>
  <c r="AG113" i="3"/>
  <c r="M113" i="3"/>
  <c r="S113" i="3"/>
  <c r="AH113" i="3"/>
  <c r="AB113" i="3"/>
  <c r="AA113" i="3"/>
  <c r="U113" i="3"/>
  <c r="T113" i="3"/>
  <c r="AF113" i="3"/>
  <c r="AE113" i="3"/>
  <c r="AM113" i="3"/>
  <c r="AN113" i="3"/>
  <c r="AK113" i="3"/>
  <c r="Z113" i="3"/>
  <c r="N113" i="3"/>
  <c r="Y113" i="3"/>
  <c r="W113" i="3"/>
  <c r="V113" i="3"/>
  <c r="Q113" i="3"/>
  <c r="AS113" i="3"/>
  <c r="AL113" i="3"/>
  <c r="AJ113" i="3"/>
  <c r="AC113" i="3"/>
  <c r="X113" i="3"/>
  <c r="P113" i="3"/>
  <c r="AD113" i="3"/>
  <c r="R113" i="3"/>
  <c r="L113" i="3"/>
  <c r="K113" i="3"/>
  <c r="G17" i="3"/>
  <c r="AP17" i="3" s="1"/>
  <c r="AI51" i="3"/>
  <c r="U56" i="3"/>
  <c r="X88" i="3"/>
  <c r="W88" i="3"/>
  <c r="Z88" i="3"/>
  <c r="AS88" i="3"/>
  <c r="Y88" i="3"/>
  <c r="AD88" i="3"/>
  <c r="R88" i="3"/>
  <c r="AK88" i="3"/>
  <c r="L88" i="3"/>
  <c r="S88" i="3"/>
  <c r="AI88" i="3"/>
  <c r="AN88" i="3"/>
  <c r="AE88" i="3"/>
  <c r="AC88" i="3"/>
  <c r="Q88" i="3"/>
  <c r="AH88" i="3"/>
  <c r="U88" i="3"/>
  <c r="T88" i="3"/>
  <c r="O88" i="3"/>
  <c r="N88" i="3"/>
  <c r="K88" i="3"/>
  <c r="AL88" i="3"/>
  <c r="AJ88" i="3"/>
  <c r="AG88" i="3"/>
  <c r="AF88" i="3"/>
  <c r="V88" i="3"/>
  <c r="P88" i="3"/>
  <c r="M88" i="3"/>
  <c r="AG101" i="3"/>
  <c r="M101" i="3"/>
  <c r="AC101" i="3"/>
  <c r="AB101" i="3"/>
  <c r="AA101" i="3"/>
  <c r="X101" i="3"/>
  <c r="W101" i="3"/>
  <c r="AE101" i="3"/>
  <c r="AI101" i="3"/>
  <c r="V101" i="3"/>
  <c r="O101" i="3"/>
  <c r="AK101" i="3"/>
  <c r="AH101" i="3"/>
  <c r="N101" i="3"/>
  <c r="AM101" i="3"/>
  <c r="AL101" i="3"/>
  <c r="AJ101" i="3"/>
  <c r="U101" i="3"/>
  <c r="AN101" i="3"/>
  <c r="AF101" i="3"/>
  <c r="Z101" i="3"/>
  <c r="Y101" i="3"/>
  <c r="S101" i="3"/>
  <c r="AD101" i="3"/>
  <c r="T101" i="3"/>
  <c r="R101" i="3"/>
  <c r="Q101" i="3"/>
  <c r="P101" i="3"/>
  <c r="L101" i="3"/>
  <c r="K101" i="3"/>
  <c r="AS101" i="3"/>
  <c r="U26" i="3"/>
  <c r="AH26" i="3"/>
  <c r="N26" i="3"/>
  <c r="AF26" i="3"/>
  <c r="L26" i="3"/>
  <c r="AE26" i="3"/>
  <c r="K26" i="3"/>
  <c r="AD26" i="3"/>
  <c r="AC26" i="3"/>
  <c r="X26" i="3"/>
  <c r="R26" i="3"/>
  <c r="Q26" i="3"/>
  <c r="AK26" i="3"/>
  <c r="AG45" i="3"/>
  <c r="M45" i="3"/>
  <c r="AE45" i="3"/>
  <c r="AS45" i="3"/>
  <c r="X45" i="3"/>
  <c r="AL45" i="3"/>
  <c r="Q45" i="3"/>
  <c r="S45" i="3"/>
  <c r="AI45" i="3"/>
  <c r="AF45" i="3"/>
  <c r="AD45" i="3"/>
  <c r="AB45" i="3"/>
  <c r="R45" i="3"/>
  <c r="P45" i="3"/>
  <c r="O45" i="3"/>
  <c r="AN45" i="3"/>
  <c r="AH45" i="3"/>
  <c r="AC45" i="3"/>
  <c r="W45" i="3"/>
  <c r="AL51" i="3"/>
  <c r="AB56" i="3"/>
  <c r="AL60" i="3"/>
  <c r="R60" i="3"/>
  <c r="AB60" i="3"/>
  <c r="AN60" i="3"/>
  <c r="S60" i="3"/>
  <c r="AI60" i="3"/>
  <c r="L60" i="3"/>
  <c r="AA60" i="3"/>
  <c r="Z60" i="3"/>
  <c r="T60" i="3"/>
  <c r="O60" i="3"/>
  <c r="AH60" i="3"/>
  <c r="AF60" i="3"/>
  <c r="AE60" i="3"/>
  <c r="AC60" i="3"/>
  <c r="Q60" i="3"/>
  <c r="P60" i="3"/>
  <c r="N60" i="3"/>
  <c r="AK60" i="3"/>
  <c r="AJ60" i="3"/>
  <c r="X60" i="3"/>
  <c r="W60" i="3"/>
  <c r="AH78" i="3"/>
  <c r="N78" i="3"/>
  <c r="AI78" i="3"/>
  <c r="M78" i="3"/>
  <c r="AN78" i="3"/>
  <c r="S78" i="3"/>
  <c r="AD78" i="3"/>
  <c r="X78" i="3"/>
  <c r="AC78" i="3"/>
  <c r="R78" i="3"/>
  <c r="W78" i="3"/>
  <c r="L78" i="3"/>
  <c r="K78" i="3"/>
  <c r="AF78" i="3"/>
  <c r="Q78" i="3"/>
  <c r="AM78" i="3"/>
  <c r="AK78" i="3"/>
  <c r="AJ78" i="3"/>
  <c r="AE78" i="3"/>
  <c r="AL78" i="3"/>
  <c r="Z78" i="3"/>
  <c r="Y78" i="3"/>
  <c r="V78" i="3"/>
  <c r="U78" i="3"/>
  <c r="P78" i="3"/>
  <c r="O78" i="3"/>
  <c r="AS78" i="3"/>
  <c r="AA88" i="3"/>
  <c r="I7" i="3"/>
  <c r="K34" i="3"/>
  <c r="AM51" i="3"/>
  <c r="AC56" i="3"/>
  <c r="AB88" i="3"/>
  <c r="AF112" i="3"/>
  <c r="L112" i="3"/>
  <c r="AD112" i="3"/>
  <c r="AH112" i="3"/>
  <c r="K112" i="3"/>
  <c r="X112" i="3"/>
  <c r="R112" i="3"/>
  <c r="Q112" i="3"/>
  <c r="AI112" i="3"/>
  <c r="AG112" i="3"/>
  <c r="M112" i="3"/>
  <c r="AN112" i="3"/>
  <c r="S112" i="3"/>
  <c r="AJ112" i="3"/>
  <c r="V112" i="3"/>
  <c r="AB112" i="3"/>
  <c r="Z112" i="3"/>
  <c r="Y112" i="3"/>
  <c r="O112" i="3"/>
  <c r="AL112" i="3"/>
  <c r="AC112" i="3"/>
  <c r="U112" i="3"/>
  <c r="T112" i="3"/>
  <c r="N112" i="3"/>
  <c r="U135" i="3"/>
  <c r="AM135" i="3"/>
  <c r="S135" i="3"/>
  <c r="AE135" i="3"/>
  <c r="K135" i="3"/>
  <c r="Q135" i="3"/>
  <c r="AN135" i="3"/>
  <c r="P135" i="3"/>
  <c r="AD135" i="3"/>
  <c r="AS135" i="3"/>
  <c r="T135" i="3"/>
  <c r="X135" i="3"/>
  <c r="W135" i="3"/>
  <c r="R135" i="3"/>
  <c r="L135" i="3"/>
  <c r="AL135" i="3"/>
  <c r="AI135" i="3"/>
  <c r="AH135" i="3"/>
  <c r="Z135" i="3"/>
  <c r="AA135" i="3"/>
  <c r="V135" i="3"/>
  <c r="N135" i="3"/>
  <c r="AG135" i="3"/>
  <c r="Y135" i="3"/>
  <c r="M135" i="3"/>
  <c r="AC135" i="3"/>
  <c r="AK135" i="3"/>
  <c r="AJ135" i="3"/>
  <c r="U81" i="3"/>
  <c r="Y104" i="3"/>
  <c r="P33" i="3"/>
  <c r="AN33" i="3"/>
  <c r="AC38" i="3"/>
  <c r="AB48" i="3"/>
  <c r="U67" i="3"/>
  <c r="X67" i="3"/>
  <c r="AJ67" i="3"/>
  <c r="N67" i="3"/>
  <c r="AD67" i="3"/>
  <c r="W67" i="3"/>
  <c r="AK67" i="3"/>
  <c r="L67" i="3"/>
  <c r="AG67" i="3"/>
  <c r="Y67" i="3"/>
  <c r="V67" i="3"/>
  <c r="O67" i="3"/>
  <c r="AA67" i="3"/>
  <c r="AS67" i="3"/>
  <c r="M67" i="3"/>
  <c r="AM67" i="3"/>
  <c r="Y81" i="3"/>
  <c r="T86" i="3"/>
  <c r="U91" i="3"/>
  <c r="AS103" i="3"/>
  <c r="W103" i="3"/>
  <c r="AN103" i="3"/>
  <c r="S103" i="3"/>
  <c r="R103" i="3"/>
  <c r="V103" i="3"/>
  <c r="U103" i="3"/>
  <c r="AA103" i="3"/>
  <c r="Z103" i="3"/>
  <c r="AE103" i="3"/>
  <c r="M103" i="3"/>
  <c r="AI103" i="3"/>
  <c r="X103" i="3"/>
  <c r="AJ103" i="3"/>
  <c r="Y103" i="3"/>
  <c r="Q103" i="3"/>
  <c r="AK103" i="3"/>
  <c r="AH103" i="3"/>
  <c r="AG103" i="3"/>
  <c r="T103" i="3"/>
  <c r="AM103" i="3"/>
  <c r="AL103" i="3"/>
  <c r="AD103" i="3"/>
  <c r="P112" i="3"/>
  <c r="O135" i="3"/>
  <c r="AK38" i="3"/>
  <c r="AH48" i="3"/>
  <c r="AG71" i="3"/>
  <c r="M71" i="3"/>
  <c r="T71" i="3"/>
  <c r="AM71" i="3"/>
  <c r="Q71" i="3"/>
  <c r="AF71" i="3"/>
  <c r="AL71" i="3"/>
  <c r="N71" i="3"/>
  <c r="AA71" i="3"/>
  <c r="AK71" i="3"/>
  <c r="AB71" i="3"/>
  <c r="Z71" i="3"/>
  <c r="AS71" i="3"/>
  <c r="S71" i="3"/>
  <c r="W71" i="3"/>
  <c r="L71" i="3"/>
  <c r="K71" i="3"/>
  <c r="AJ71" i="3"/>
  <c r="O73" i="3"/>
  <c r="AG81" i="3"/>
  <c r="AD86" i="3"/>
  <c r="AE91" i="3"/>
  <c r="AK112" i="3"/>
  <c r="X116" i="3"/>
  <c r="V116" i="3"/>
  <c r="AM116" i="3"/>
  <c r="Q116" i="3"/>
  <c r="AK116" i="3"/>
  <c r="N116" i="3"/>
  <c r="AJ116" i="3"/>
  <c r="L116" i="3"/>
  <c r="AI116" i="3"/>
  <c r="K116" i="3"/>
  <c r="AC116" i="3"/>
  <c r="AB116" i="3"/>
  <c r="AL116" i="3"/>
  <c r="AH116" i="3"/>
  <c r="M116" i="3"/>
  <c r="Y116" i="3"/>
  <c r="U116" i="3"/>
  <c r="P116" i="3"/>
  <c r="AG116" i="3"/>
  <c r="AN116" i="3"/>
  <c r="AE116" i="3"/>
  <c r="AD116" i="3"/>
  <c r="AF116" i="3"/>
  <c r="AA116" i="3"/>
  <c r="W116" i="3"/>
  <c r="R116" i="3"/>
  <c r="AS116" i="3"/>
  <c r="Z116" i="3"/>
  <c r="S116" i="3"/>
  <c r="U33" i="3"/>
  <c r="AE36" i="3"/>
  <c r="K36" i="3"/>
  <c r="X36" i="3"/>
  <c r="V36" i="3"/>
  <c r="U36" i="3"/>
  <c r="AH36" i="3"/>
  <c r="X49" i="3"/>
  <c r="AF58" i="3"/>
  <c r="L58" i="3"/>
  <c r="AM58" i="3"/>
  <c r="R58" i="3"/>
  <c r="AC58" i="3"/>
  <c r="Q58" i="3"/>
  <c r="AG58" i="3"/>
  <c r="AE58" i="3"/>
  <c r="X58" i="3"/>
  <c r="AK58" i="3"/>
  <c r="Z58" i="3"/>
  <c r="W58" i="3"/>
  <c r="V58" i="3"/>
  <c r="T58" i="3"/>
  <c r="R67" i="3"/>
  <c r="Q73" i="3"/>
  <c r="AS75" i="3"/>
  <c r="Y75" i="3"/>
  <c r="AN75" i="3"/>
  <c r="S75" i="3"/>
  <c r="X75" i="3"/>
  <c r="AA75" i="3"/>
  <c r="R75" i="3"/>
  <c r="AL75" i="3"/>
  <c r="M75" i="3"/>
  <c r="AC75" i="3"/>
  <c r="V75" i="3"/>
  <c r="L75" i="3"/>
  <c r="AM75" i="3"/>
  <c r="K75" i="3"/>
  <c r="AF75" i="3"/>
  <c r="AD75" i="3"/>
  <c r="Q75" i="3"/>
  <c r="P75" i="3"/>
  <c r="N75" i="3"/>
  <c r="S89" i="3"/>
  <c r="O103" i="3"/>
  <c r="AM112" i="3"/>
  <c r="O118" i="3"/>
  <c r="AJ120" i="3"/>
  <c r="P120" i="3"/>
  <c r="AH120" i="3"/>
  <c r="N120" i="3"/>
  <c r="X120" i="3"/>
  <c r="AS120" i="3"/>
  <c r="W120" i="3"/>
  <c r="AC120" i="3"/>
  <c r="AI120" i="3"/>
  <c r="AG120" i="3"/>
  <c r="Z120" i="3"/>
  <c r="Y120" i="3"/>
  <c r="AF120" i="3"/>
  <c r="AE120" i="3"/>
  <c r="AN120" i="3"/>
  <c r="AM120" i="3"/>
  <c r="AK120" i="3"/>
  <c r="V120" i="3"/>
  <c r="L120" i="3"/>
  <c r="AD120" i="3"/>
  <c r="AA120" i="3"/>
  <c r="U120" i="3"/>
  <c r="S120" i="3"/>
  <c r="R120" i="3"/>
  <c r="Q120" i="3"/>
  <c r="M120" i="3"/>
  <c r="K120" i="3"/>
  <c r="S107" i="3"/>
  <c r="T118" i="3"/>
  <c r="W81" i="3"/>
  <c r="AD81" i="3"/>
  <c r="AC81" i="3"/>
  <c r="AH81" i="3"/>
  <c r="M81" i="3"/>
  <c r="AL81" i="3"/>
  <c r="N81" i="3"/>
  <c r="AE81" i="3"/>
  <c r="AS81" i="3"/>
  <c r="S81" i="3"/>
  <c r="AI81" i="3"/>
  <c r="T81" i="3"/>
  <c r="AN81" i="3"/>
  <c r="AM81" i="3"/>
  <c r="AA81" i="3"/>
  <c r="AJ81" i="3"/>
  <c r="X81" i="3"/>
  <c r="V81" i="3"/>
  <c r="R81" i="3"/>
  <c r="Q81" i="3"/>
  <c r="O81" i="3"/>
  <c r="Z107" i="3"/>
  <c r="AL86" i="3"/>
  <c r="R86" i="3"/>
  <c r="AK86" i="3"/>
  <c r="Q86" i="3"/>
  <c r="AG86" i="3"/>
  <c r="K86" i="3"/>
  <c r="AF86" i="3"/>
  <c r="AM86" i="3"/>
  <c r="O86" i="3"/>
  <c r="S86" i="3"/>
  <c r="AI86" i="3"/>
  <c r="Z86" i="3"/>
  <c r="Y86" i="3"/>
  <c r="AS86" i="3"/>
  <c r="N86" i="3"/>
  <c r="M86" i="3"/>
  <c r="AH86" i="3"/>
  <c r="AN86" i="3"/>
  <c r="AA86" i="3"/>
  <c r="X86" i="3"/>
  <c r="V86" i="3"/>
  <c r="U86" i="3"/>
  <c r="P86" i="3"/>
  <c r="AA107" i="3"/>
  <c r="AA118" i="3"/>
  <c r="AI38" i="3"/>
  <c r="O38" i="3"/>
  <c r="AB38" i="3"/>
  <c r="U38" i="3"/>
  <c r="AJ38" i="3"/>
  <c r="M38" i="3"/>
  <c r="AG38" i="3"/>
  <c r="K38" i="3"/>
  <c r="AF38" i="3"/>
  <c r="V48" i="3"/>
  <c r="Z48" i="3"/>
  <c r="AM48" i="3"/>
  <c r="R48" i="3"/>
  <c r="AF48" i="3"/>
  <c r="K48" i="3"/>
  <c r="AD48" i="3"/>
  <c r="U48" i="3"/>
  <c r="S48" i="3"/>
  <c r="Q48" i="3"/>
  <c r="AN48" i="3"/>
  <c r="O48" i="3"/>
  <c r="V73" i="3"/>
  <c r="AF91" i="3"/>
  <c r="L91" i="3"/>
  <c r="AK91" i="3"/>
  <c r="P91" i="3"/>
  <c r="AJ91" i="3"/>
  <c r="O91" i="3"/>
  <c r="Y91" i="3"/>
  <c r="X91" i="3"/>
  <c r="AC91" i="3"/>
  <c r="AL91" i="3"/>
  <c r="AB91" i="3"/>
  <c r="S91" i="3"/>
  <c r="AI91" i="3"/>
  <c r="R91" i="3"/>
  <c r="AN91" i="3"/>
  <c r="AA91" i="3"/>
  <c r="Z91" i="3"/>
  <c r="N91" i="3"/>
  <c r="M91" i="3"/>
  <c r="AS91" i="3"/>
  <c r="AS112" i="3"/>
  <c r="AL114" i="3"/>
  <c r="R114" i="3"/>
  <c r="AJ114" i="3"/>
  <c r="P114" i="3"/>
  <c r="Z114" i="3"/>
  <c r="T114" i="3"/>
  <c r="AN114" i="3"/>
  <c r="N114" i="3"/>
  <c r="AM114" i="3"/>
  <c r="M114" i="3"/>
  <c r="AE114" i="3"/>
  <c r="AD114" i="3"/>
  <c r="W114" i="3"/>
  <c r="V114" i="3"/>
  <c r="AB114" i="3"/>
  <c r="AH114" i="3"/>
  <c r="AF114" i="3"/>
  <c r="X114" i="3"/>
  <c r="AC114" i="3"/>
  <c r="Y114" i="3"/>
  <c r="U114" i="3"/>
  <c r="AG114" i="3"/>
  <c r="L114" i="3"/>
  <c r="K114" i="3"/>
  <c r="AC118" i="3"/>
  <c r="AA33" i="3"/>
  <c r="Q38" i="3"/>
  <c r="AI49" i="3"/>
  <c r="AC67" i="3"/>
  <c r="V71" i="3"/>
  <c r="Z82" i="3"/>
  <c r="AH82" i="3"/>
  <c r="M82" i="3"/>
  <c r="AG82" i="3"/>
  <c r="L82" i="3"/>
  <c r="AL82" i="3"/>
  <c r="Q82" i="3"/>
  <c r="X82" i="3"/>
  <c r="R82" i="3"/>
  <c r="AJ82" i="3"/>
  <c r="W82" i="3"/>
  <c r="K82" i="3"/>
  <c r="AE82" i="3"/>
  <c r="AD82" i="3"/>
  <c r="U82" i="3"/>
  <c r="AK82" i="3"/>
  <c r="Y82" i="3"/>
  <c r="V82" i="3"/>
  <c r="S82" i="3"/>
  <c r="P82" i="3"/>
  <c r="N82" i="3"/>
  <c r="AK107" i="3"/>
  <c r="Q107" i="3"/>
  <c r="AI107" i="3"/>
  <c r="O107" i="3"/>
  <c r="X107" i="3"/>
  <c r="AD107" i="3"/>
  <c r="AN107" i="3"/>
  <c r="N107" i="3"/>
  <c r="AM107" i="3"/>
  <c r="M107" i="3"/>
  <c r="AE107" i="3"/>
  <c r="AC107" i="3"/>
  <c r="AJ107" i="3"/>
  <c r="AS107" i="3"/>
  <c r="L107" i="3"/>
  <c r="AH107" i="3"/>
  <c r="V107" i="3"/>
  <c r="U107" i="3"/>
  <c r="K107" i="3"/>
  <c r="AL107" i="3"/>
  <c r="AG107" i="3"/>
  <c r="AB107" i="3"/>
  <c r="Y107" i="3"/>
  <c r="W107" i="3"/>
  <c r="T107" i="3"/>
  <c r="R107" i="3"/>
  <c r="P107" i="3"/>
  <c r="AD118" i="3"/>
  <c r="AB118" i="3"/>
  <c r="AE118" i="3"/>
  <c r="AF118" i="3"/>
  <c r="AH118" i="3"/>
  <c r="AG118" i="3"/>
  <c r="W118" i="3"/>
  <c r="V118" i="3"/>
  <c r="AS118" i="3"/>
  <c r="Q118" i="3"/>
  <c r="P118" i="3"/>
  <c r="U118" i="3"/>
  <c r="N118" i="3"/>
  <c r="L118" i="3"/>
  <c r="AM118" i="3"/>
  <c r="Y118" i="3"/>
  <c r="M118" i="3"/>
  <c r="AN118" i="3"/>
  <c r="AK118" i="3"/>
  <c r="AJ118" i="3"/>
  <c r="X118" i="3"/>
  <c r="AL118" i="3"/>
  <c r="S118" i="3"/>
  <c r="R118" i="3"/>
  <c r="K118" i="3"/>
  <c r="AB104" i="3"/>
  <c r="Z104" i="3"/>
  <c r="X104" i="3"/>
  <c r="AA104" i="3"/>
  <c r="AF104" i="3"/>
  <c r="AE104" i="3"/>
  <c r="AL104" i="3"/>
  <c r="L104" i="3"/>
  <c r="AK104" i="3"/>
  <c r="K104" i="3"/>
  <c r="P104" i="3"/>
  <c r="AI104" i="3"/>
  <c r="W104" i="3"/>
  <c r="N104" i="3"/>
  <c r="AG104" i="3"/>
  <c r="S104" i="3"/>
  <c r="Q104" i="3"/>
  <c r="AN104" i="3"/>
  <c r="AM104" i="3"/>
  <c r="AJ104" i="3"/>
  <c r="AD104" i="3"/>
  <c r="V104" i="3"/>
  <c r="T104" i="3"/>
  <c r="AS104" i="3"/>
  <c r="AM73" i="3"/>
  <c r="S73" i="3"/>
  <c r="AD73" i="3"/>
  <c r="AI73" i="3"/>
  <c r="AC73" i="3"/>
  <c r="W73" i="3"/>
  <c r="AK73" i="3"/>
  <c r="L73" i="3"/>
  <c r="Y73" i="3"/>
  <c r="P73" i="3"/>
  <c r="AH73" i="3"/>
  <c r="AG73" i="3"/>
  <c r="X73" i="3"/>
  <c r="AS73" i="3"/>
  <c r="M73" i="3"/>
  <c r="AL73" i="3"/>
  <c r="AJ73" i="3"/>
  <c r="AE73" i="3"/>
  <c r="AB73" i="3"/>
  <c r="Z73" i="3"/>
  <c r="AL25" i="3"/>
  <c r="R25" i="3"/>
  <c r="AE25" i="3"/>
  <c r="K25" i="3"/>
  <c r="AC25" i="3"/>
  <c r="AB25" i="3"/>
  <c r="W38" i="3"/>
  <c r="T48" i="3"/>
  <c r="AN54" i="3"/>
  <c r="T54" i="3"/>
  <c r="AI54" i="3"/>
  <c r="N54" i="3"/>
  <c r="AB54" i="3"/>
  <c r="AA54" i="3"/>
  <c r="U54" i="3"/>
  <c r="AC54" i="3"/>
  <c r="AS54" i="3"/>
  <c r="R54" i="3"/>
  <c r="P54" i="3"/>
  <c r="O54" i="3"/>
  <c r="AL54" i="3"/>
  <c r="L54" i="3"/>
  <c r="AL67" i="3"/>
  <c r="X68" i="3"/>
  <c r="AB68" i="3"/>
  <c r="S68" i="3"/>
  <c r="AI68" i="3"/>
  <c r="M68" i="3"/>
  <c r="AG68" i="3"/>
  <c r="AS68" i="3"/>
  <c r="V68" i="3"/>
  <c r="T68" i="3"/>
  <c r="AL68" i="3"/>
  <c r="K68" i="3"/>
  <c r="AK68" i="3"/>
  <c r="AC68" i="3"/>
  <c r="P68" i="3"/>
  <c r="AN68" i="3"/>
  <c r="AM68" i="3"/>
  <c r="AH68" i="3"/>
  <c r="AF68" i="3"/>
  <c r="AD68" i="3"/>
  <c r="AE71" i="3"/>
  <c r="AB82" i="3"/>
  <c r="M104" i="3"/>
  <c r="AC111" i="3"/>
  <c r="AA111" i="3"/>
  <c r="Z111" i="3"/>
  <c r="AM111" i="3"/>
  <c r="P111" i="3"/>
  <c r="AF111" i="3"/>
  <c r="AE111" i="3"/>
  <c r="V111" i="3"/>
  <c r="AS111" i="3"/>
  <c r="U111" i="3"/>
  <c r="S111" i="3"/>
  <c r="R111" i="3"/>
  <c r="Y111" i="3"/>
  <c r="N111" i="3"/>
  <c r="AN111" i="3"/>
  <c r="AB111" i="3"/>
  <c r="AH111" i="3"/>
  <c r="AD111" i="3"/>
  <c r="X111" i="3"/>
  <c r="AL111" i="3"/>
  <c r="AK111" i="3"/>
  <c r="AI111" i="3"/>
  <c r="T111" i="3"/>
  <c r="O111" i="3"/>
  <c r="V33" i="3"/>
  <c r="AI33" i="3"/>
  <c r="O33" i="3"/>
  <c r="AG33" i="3"/>
  <c r="M33" i="3"/>
  <c r="AF33" i="3"/>
  <c r="L33" i="3"/>
  <c r="AJ33" i="3"/>
  <c r="X38" i="3"/>
  <c r="W48" i="3"/>
  <c r="AS49" i="3"/>
  <c r="Y49" i="3"/>
  <c r="AE49" i="3"/>
  <c r="W49" i="3"/>
  <c r="AK49" i="3"/>
  <c r="P49" i="3"/>
  <c r="Q49" i="3"/>
  <c r="AG49" i="3"/>
  <c r="AD49" i="3"/>
  <c r="AC49" i="3"/>
  <c r="AA49" i="3"/>
  <c r="AN67" i="3"/>
  <c r="AH71" i="3"/>
  <c r="K81" i="3"/>
  <c r="AC82" i="3"/>
  <c r="Z89" i="3"/>
  <c r="AB89" i="3"/>
  <c r="AA89" i="3"/>
  <c r="AF89" i="3"/>
  <c r="AE89" i="3"/>
  <c r="AJ89" i="3"/>
  <c r="M89" i="3"/>
  <c r="AG89" i="3"/>
  <c r="V89" i="3"/>
  <c r="AL89" i="3"/>
  <c r="U89" i="3"/>
  <c r="AD89" i="3"/>
  <c r="R89" i="3"/>
  <c r="Q89" i="3"/>
  <c r="AC89" i="3"/>
  <c r="P89" i="3"/>
  <c r="O89" i="3"/>
  <c r="L89" i="3"/>
  <c r="AS89" i="3"/>
  <c r="K89" i="3"/>
  <c r="O104" i="3"/>
  <c r="AI59" i="3"/>
  <c r="O59" i="3"/>
  <c r="W59" i="3"/>
  <c r="AH59" i="3"/>
  <c r="M59" i="3"/>
  <c r="AA59" i="3"/>
  <c r="S59" i="3"/>
  <c r="R59" i="3"/>
  <c r="AG59" i="3"/>
  <c r="AL59" i="3"/>
  <c r="AJ77" i="3"/>
  <c r="AG139" i="3"/>
  <c r="M139" i="3"/>
  <c r="AE139" i="3"/>
  <c r="K139" i="3"/>
  <c r="W139" i="3"/>
  <c r="AD139" i="3"/>
  <c r="AC139" i="3"/>
  <c r="T139" i="3"/>
  <c r="AB139" i="3"/>
  <c r="AN139" i="3"/>
  <c r="L139" i="3"/>
  <c r="AM139" i="3"/>
  <c r="AK139" i="3"/>
  <c r="AF139" i="3"/>
  <c r="AA139" i="3"/>
  <c r="V139" i="3"/>
  <c r="U139" i="3"/>
  <c r="N139" i="3"/>
  <c r="AH139" i="3"/>
  <c r="AL139" i="3"/>
  <c r="AJ139" i="3"/>
  <c r="AI139" i="3"/>
  <c r="S139" i="3"/>
  <c r="AS139" i="3"/>
  <c r="R139" i="3"/>
  <c r="P139" i="3"/>
  <c r="O139" i="3"/>
  <c r="X139" i="3"/>
  <c r="Q139" i="3"/>
  <c r="K59" i="3"/>
  <c r="AN59" i="3"/>
  <c r="AM77" i="3"/>
  <c r="AL93" i="3"/>
  <c r="R93" i="3"/>
  <c r="Z93" i="3"/>
  <c r="Y93" i="3"/>
  <c r="T93" i="3"/>
  <c r="S93" i="3"/>
  <c r="X93" i="3"/>
  <c r="N93" i="3"/>
  <c r="AH93" i="3"/>
  <c r="AG93" i="3"/>
  <c r="U93" i="3"/>
  <c r="AM93" i="3"/>
  <c r="AC93" i="3"/>
  <c r="AB93" i="3"/>
  <c r="O93" i="3"/>
  <c r="AS93" i="3"/>
  <c r="U94" i="3"/>
  <c r="AE94" i="3"/>
  <c r="AD94" i="3"/>
  <c r="AA94" i="3"/>
  <c r="Z94" i="3"/>
  <c r="AG94" i="3"/>
  <c r="AB94" i="3"/>
  <c r="AS94" i="3"/>
  <c r="S94" i="3"/>
  <c r="T94" i="3"/>
  <c r="AL94" i="3"/>
  <c r="AC94" i="3"/>
  <c r="P94" i="3"/>
  <c r="O94" i="3"/>
  <c r="AM94" i="3"/>
  <c r="AH126" i="3"/>
  <c r="N126" i="3"/>
  <c r="AF126" i="3"/>
  <c r="L126" i="3"/>
  <c r="V126" i="3"/>
  <c r="U126" i="3"/>
  <c r="AI126" i="3"/>
  <c r="K126" i="3"/>
  <c r="Z126" i="3"/>
  <c r="AN126" i="3"/>
  <c r="M126" i="3"/>
  <c r="AM126" i="3"/>
  <c r="AK126" i="3"/>
  <c r="AD126" i="3"/>
  <c r="AC126" i="3"/>
  <c r="Q126" i="3"/>
  <c r="AL126" i="3"/>
  <c r="AG126" i="3"/>
  <c r="AB126" i="3"/>
  <c r="W126" i="3"/>
  <c r="AJ126" i="3"/>
  <c r="R126" i="3"/>
  <c r="O126" i="3"/>
  <c r="AE126" i="3"/>
  <c r="Y139" i="3"/>
  <c r="AS143" i="3"/>
  <c r="Y143" i="3"/>
  <c r="W143" i="3"/>
  <c r="AI143" i="3"/>
  <c r="O143" i="3"/>
  <c r="U143" i="3"/>
  <c r="T143" i="3"/>
  <c r="AH143" i="3"/>
  <c r="K143" i="3"/>
  <c r="N143" i="3"/>
  <c r="AF143" i="3"/>
  <c r="AE143" i="3"/>
  <c r="AC143" i="3"/>
  <c r="X143" i="3"/>
  <c r="V143" i="3"/>
  <c r="Q143" i="3"/>
  <c r="P143" i="3"/>
  <c r="AA143" i="3"/>
  <c r="M143" i="3"/>
  <c r="AB143" i="3"/>
  <c r="AL143" i="3"/>
  <c r="R143" i="3"/>
  <c r="AG143" i="3"/>
  <c r="AD143" i="3"/>
  <c r="Z143" i="3"/>
  <c r="L143" i="3"/>
  <c r="L59" i="3"/>
  <c r="AB76" i="3"/>
  <c r="AS76" i="3"/>
  <c r="X76" i="3"/>
  <c r="AD76" i="3"/>
  <c r="AI76" i="3"/>
  <c r="L76" i="3"/>
  <c r="AA76" i="3"/>
  <c r="Z76" i="3"/>
  <c r="P76" i="3"/>
  <c r="N76" i="3"/>
  <c r="AG76" i="3"/>
  <c r="AF76" i="3"/>
  <c r="U76" i="3"/>
  <c r="AI92" i="3"/>
  <c r="O92" i="3"/>
  <c r="U92" i="3"/>
  <c r="T92" i="3"/>
  <c r="AH92" i="3"/>
  <c r="K92" i="3"/>
  <c r="AG92" i="3"/>
  <c r="AM92" i="3"/>
  <c r="P92" i="3"/>
  <c r="Z92" i="3"/>
  <c r="AS92" i="3"/>
  <c r="R92" i="3"/>
  <c r="AB92" i="3"/>
  <c r="L92" i="3"/>
  <c r="AF92" i="3"/>
  <c r="AE92" i="3"/>
  <c r="W92" i="3"/>
  <c r="AI133" i="3"/>
  <c r="O133" i="3"/>
  <c r="AG133" i="3"/>
  <c r="M133" i="3"/>
  <c r="X133" i="3"/>
  <c r="AS133" i="3"/>
  <c r="W133" i="3"/>
  <c r="AK133" i="3"/>
  <c r="N133" i="3"/>
  <c r="Q133" i="3"/>
  <c r="P133" i="3"/>
  <c r="L133" i="3"/>
  <c r="AM133" i="3"/>
  <c r="AF133" i="3"/>
  <c r="AE133" i="3"/>
  <c r="AC133" i="3"/>
  <c r="R133" i="3"/>
  <c r="V133" i="3"/>
  <c r="T133" i="3"/>
  <c r="K133" i="3"/>
  <c r="AB133" i="3"/>
  <c r="AN133" i="3"/>
  <c r="Z133" i="3"/>
  <c r="Y133" i="3"/>
  <c r="U133" i="3"/>
  <c r="Z139" i="3"/>
  <c r="W149" i="3"/>
  <c r="U149" i="3"/>
  <c r="AG149" i="3"/>
  <c r="M149" i="3"/>
  <c r="AC149" i="3"/>
  <c r="AB149" i="3"/>
  <c r="R149" i="3"/>
  <c r="Z149" i="3"/>
  <c r="X149" i="3"/>
  <c r="V149" i="3"/>
  <c r="AS149" i="3"/>
  <c r="S149" i="3"/>
  <c r="N149" i="3"/>
  <c r="AN149" i="3"/>
  <c r="L149" i="3"/>
  <c r="AI149" i="3"/>
  <c r="AH149" i="3"/>
  <c r="T149" i="3"/>
  <c r="AM149" i="3"/>
  <c r="AJ149" i="3"/>
  <c r="AE149" i="3"/>
  <c r="AD149" i="3"/>
  <c r="AA149" i="3"/>
  <c r="O149" i="3"/>
  <c r="Q149" i="3"/>
  <c r="AL149" i="3"/>
  <c r="AK149" i="3"/>
  <c r="P149" i="3"/>
  <c r="AM47" i="3"/>
  <c r="S47" i="3"/>
  <c r="U47" i="3"/>
  <c r="AH47" i="3"/>
  <c r="M47" i="3"/>
  <c r="AA47" i="3"/>
  <c r="AG47" i="3"/>
  <c r="P59" i="3"/>
  <c r="M76" i="3"/>
  <c r="M92" i="3"/>
  <c r="L93" i="3"/>
  <c r="K94" i="3"/>
  <c r="U115" i="3"/>
  <c r="AM115" i="3"/>
  <c r="S115" i="3"/>
  <c r="AG115" i="3"/>
  <c r="K115" i="3"/>
  <c r="AC115" i="3"/>
  <c r="Z115" i="3"/>
  <c r="Y115" i="3"/>
  <c r="Q115" i="3"/>
  <c r="P115" i="3"/>
  <c r="N115" i="3"/>
  <c r="M115" i="3"/>
  <c r="V115" i="3"/>
  <c r="AF115" i="3"/>
  <c r="AD115" i="3"/>
  <c r="W115" i="3"/>
  <c r="AN115" i="3"/>
  <c r="AS115" i="3"/>
  <c r="AI115" i="3"/>
  <c r="AE115" i="3"/>
  <c r="AB115" i="3"/>
  <c r="T115" i="3"/>
  <c r="R115" i="3"/>
  <c r="O115" i="3"/>
  <c r="AS123" i="3"/>
  <c r="Y123" i="3"/>
  <c r="W123" i="3"/>
  <c r="X123" i="3"/>
  <c r="V123" i="3"/>
  <c r="AM123" i="3"/>
  <c r="O123" i="3"/>
  <c r="AA123" i="3"/>
  <c r="Z123" i="3"/>
  <c r="P123" i="3"/>
  <c r="AN123" i="3"/>
  <c r="N123" i="3"/>
  <c r="AL123" i="3"/>
  <c r="Q123" i="3"/>
  <c r="AC123" i="3"/>
  <c r="U123" i="3"/>
  <c r="S123" i="3"/>
  <c r="K123" i="3"/>
  <c r="AG123" i="3"/>
  <c r="AH123" i="3"/>
  <c r="AE123" i="3"/>
  <c r="AD123" i="3"/>
  <c r="AK123" i="3"/>
  <c r="M123" i="3"/>
  <c r="L123" i="3"/>
  <c r="AS126" i="3"/>
  <c r="S133" i="3"/>
  <c r="AE77" i="3"/>
  <c r="K77" i="3"/>
  <c r="AC77" i="3"/>
  <c r="AI77" i="3"/>
  <c r="N77" i="3"/>
  <c r="U77" i="3"/>
  <c r="AL77" i="3"/>
  <c r="O77" i="3"/>
  <c r="Q77" i="3"/>
  <c r="AD77" i="3"/>
  <c r="AG77" i="3"/>
  <c r="W77" i="3"/>
  <c r="V77" i="3"/>
  <c r="L77" i="3"/>
  <c r="AA133" i="3"/>
  <c r="K149" i="3"/>
  <c r="U155" i="3"/>
  <c r="AM155" i="3"/>
  <c r="S155" i="3"/>
  <c r="AE155" i="3"/>
  <c r="K155" i="3"/>
  <c r="AK155" i="3"/>
  <c r="N155" i="3"/>
  <c r="AJ155" i="3"/>
  <c r="M155" i="3"/>
  <c r="AI155" i="3"/>
  <c r="L155" i="3"/>
  <c r="Z155" i="3"/>
  <c r="AD155" i="3"/>
  <c r="W155" i="3"/>
  <c r="AC155" i="3"/>
  <c r="AB155" i="3"/>
  <c r="Y155" i="3"/>
  <c r="R155" i="3"/>
  <c r="Q155" i="3"/>
  <c r="T155" i="3"/>
  <c r="P155" i="3"/>
  <c r="AS155" i="3"/>
  <c r="AF155" i="3"/>
  <c r="X155" i="3"/>
  <c r="AL155" i="3"/>
  <c r="AH155" i="3"/>
  <c r="AN155" i="3"/>
  <c r="AG155" i="3"/>
  <c r="AA155" i="3"/>
  <c r="V155" i="3"/>
  <c r="Z59" i="3"/>
  <c r="AF64" i="3"/>
  <c r="L64" i="3"/>
  <c r="AC64" i="3"/>
  <c r="AK64" i="3"/>
  <c r="O64" i="3"/>
  <c r="AD64" i="3"/>
  <c r="AL64" i="3"/>
  <c r="M64" i="3"/>
  <c r="Y64" i="3"/>
  <c r="AJ64" i="3"/>
  <c r="Z64" i="3"/>
  <c r="X64" i="3"/>
  <c r="R64" i="3"/>
  <c r="W76" i="3"/>
  <c r="T77" i="3"/>
  <c r="AF84" i="3"/>
  <c r="L84" i="3"/>
  <c r="V84" i="3"/>
  <c r="U84" i="3"/>
  <c r="Z84" i="3"/>
  <c r="S84" i="3"/>
  <c r="AK84" i="3"/>
  <c r="M84" i="3"/>
  <c r="AI84" i="3"/>
  <c r="X84" i="3"/>
  <c r="O84" i="3"/>
  <c r="AH84" i="3"/>
  <c r="AG84" i="3"/>
  <c r="Y84" i="3"/>
  <c r="AA92" i="3"/>
  <c r="AD93" i="3"/>
  <c r="W94" i="3"/>
  <c r="W109" i="3"/>
  <c r="U109" i="3"/>
  <c r="AL109" i="3"/>
  <c r="P109" i="3"/>
  <c r="Z109" i="3"/>
  <c r="AK109" i="3"/>
  <c r="M109" i="3"/>
  <c r="AJ109" i="3"/>
  <c r="L109" i="3"/>
  <c r="AD109" i="3"/>
  <c r="AC109" i="3"/>
  <c r="AN109" i="3"/>
  <c r="AS109" i="3"/>
  <c r="Q109" i="3"/>
  <c r="AA109" i="3"/>
  <c r="R109" i="3"/>
  <c r="AI109" i="3"/>
  <c r="AF109" i="3"/>
  <c r="AB109" i="3"/>
  <c r="Y109" i="3"/>
  <c r="X109" i="3"/>
  <c r="V109" i="3"/>
  <c r="T109" i="3"/>
  <c r="O109" i="3"/>
  <c r="AK115" i="3"/>
  <c r="Z150" i="3"/>
  <c r="X150" i="3"/>
  <c r="AJ150" i="3"/>
  <c r="P150" i="3"/>
  <c r="AK150" i="3"/>
  <c r="M150" i="3"/>
  <c r="AI150" i="3"/>
  <c r="L150" i="3"/>
  <c r="AA150" i="3"/>
  <c r="N150" i="3"/>
  <c r="K150" i="3"/>
  <c r="AN150" i="3"/>
  <c r="AL150" i="3"/>
  <c r="AE150" i="3"/>
  <c r="AD150" i="3"/>
  <c r="AB150" i="3"/>
  <c r="Y150" i="3"/>
  <c r="R150" i="3"/>
  <c r="AH150" i="3"/>
  <c r="AG150" i="3"/>
  <c r="AF150" i="3"/>
  <c r="AC150" i="3"/>
  <c r="T150" i="3"/>
  <c r="Q150" i="3"/>
  <c r="AS150" i="3"/>
  <c r="V150" i="3"/>
  <c r="S150" i="3"/>
  <c r="O150" i="3"/>
  <c r="AK127" i="3"/>
  <c r="Q127" i="3"/>
  <c r="AI127" i="3"/>
  <c r="O127" i="3"/>
  <c r="AC127" i="3"/>
  <c r="AB127" i="3"/>
  <c r="T127" i="3"/>
  <c r="AM127" i="3"/>
  <c r="L127" i="3"/>
  <c r="AA127" i="3"/>
  <c r="Z127" i="3"/>
  <c r="X127" i="3"/>
  <c r="S127" i="3"/>
  <c r="AS127" i="3"/>
  <c r="R127" i="3"/>
  <c r="AN127" i="3"/>
  <c r="K127" i="3"/>
  <c r="AJ127" i="3"/>
  <c r="AG127" i="3"/>
  <c r="AE127" i="3"/>
  <c r="V127" i="3"/>
  <c r="Y127" i="3"/>
  <c r="U127" i="3"/>
  <c r="P127" i="3"/>
  <c r="AH146" i="3"/>
  <c r="N146" i="3"/>
  <c r="AF146" i="3"/>
  <c r="L146" i="3"/>
  <c r="X146" i="3"/>
  <c r="Y146" i="3"/>
  <c r="W146" i="3"/>
  <c r="AL146" i="3"/>
  <c r="O146" i="3"/>
  <c r="AI146" i="3"/>
  <c r="AB146" i="3"/>
  <c r="AA146" i="3"/>
  <c r="V146" i="3"/>
  <c r="AS146" i="3"/>
  <c r="R146" i="3"/>
  <c r="Q146" i="3"/>
  <c r="AG146" i="3"/>
  <c r="M146" i="3"/>
  <c r="Z146" i="3"/>
  <c r="T146" i="3"/>
  <c r="S146" i="3"/>
  <c r="P146" i="3"/>
  <c r="AJ146" i="3"/>
  <c r="AC146" i="3"/>
  <c r="AE125" i="3"/>
  <c r="K125" i="3"/>
  <c r="AC125" i="3"/>
  <c r="AK125" i="3"/>
  <c r="O125" i="3"/>
  <c r="AJ125" i="3"/>
  <c r="N125" i="3"/>
  <c r="Z125" i="3"/>
  <c r="AL125" i="3"/>
  <c r="V125" i="3"/>
  <c r="U125" i="3"/>
  <c r="M125" i="3"/>
  <c r="AN125" i="3"/>
  <c r="L125" i="3"/>
  <c r="Q125" i="3"/>
  <c r="AS125" i="3"/>
  <c r="P125" i="3"/>
  <c r="W125" i="3"/>
  <c r="AM125" i="3"/>
  <c r="AH125" i="3"/>
  <c r="AF125" i="3"/>
  <c r="Y125" i="3"/>
  <c r="AA125" i="3"/>
  <c r="AN128" i="3"/>
  <c r="T128" i="3"/>
  <c r="AL128" i="3"/>
  <c r="R128" i="3"/>
  <c r="AJ128" i="3"/>
  <c r="N128" i="3"/>
  <c r="AI128" i="3"/>
  <c r="M128" i="3"/>
  <c r="AA128" i="3"/>
  <c r="AB128" i="3"/>
  <c r="S128" i="3"/>
  <c r="AS128" i="3"/>
  <c r="Q128" i="3"/>
  <c r="O128" i="3"/>
  <c r="AK128" i="3"/>
  <c r="AH128" i="3"/>
  <c r="AM128" i="3"/>
  <c r="Z128" i="3"/>
  <c r="AF128" i="3"/>
  <c r="AD128" i="3"/>
  <c r="W128" i="3"/>
  <c r="AE128" i="3"/>
  <c r="AC128" i="3"/>
  <c r="Z130" i="3"/>
  <c r="X130" i="3"/>
  <c r="AB130" i="3"/>
  <c r="AA130" i="3"/>
  <c r="AM130" i="3"/>
  <c r="Q130" i="3"/>
  <c r="AD130" i="3"/>
  <c r="U130" i="3"/>
  <c r="T130" i="3"/>
  <c r="R130" i="3"/>
  <c r="AN130" i="3"/>
  <c r="M130" i="3"/>
  <c r="AL130" i="3"/>
  <c r="L130" i="3"/>
  <c r="W130" i="3"/>
  <c r="V130" i="3"/>
  <c r="AF130" i="3"/>
  <c r="AC130" i="3"/>
  <c r="S130" i="3"/>
  <c r="O130" i="3"/>
  <c r="AI130" i="3"/>
  <c r="AS130" i="3"/>
  <c r="AH130" i="3"/>
  <c r="AE130" i="3"/>
  <c r="Y130" i="3"/>
  <c r="X95" i="3"/>
  <c r="AI95" i="3"/>
  <c r="N95" i="3"/>
  <c r="AH95" i="3"/>
  <c r="M95" i="3"/>
  <c r="AK95" i="3"/>
  <c r="L95" i="3"/>
  <c r="AJ95" i="3"/>
  <c r="K95" i="3"/>
  <c r="R95" i="3"/>
  <c r="S95" i="3"/>
  <c r="AL95" i="3"/>
  <c r="O95" i="3"/>
  <c r="AC95" i="3"/>
  <c r="AD127" i="3"/>
  <c r="AB144" i="3"/>
  <c r="Z144" i="3"/>
  <c r="AL144" i="3"/>
  <c r="R144" i="3"/>
  <c r="AE144" i="3"/>
  <c r="AD144" i="3"/>
  <c r="T144" i="3"/>
  <c r="AC144" i="3"/>
  <c r="S144" i="3"/>
  <c r="AS144" i="3"/>
  <c r="Q144" i="3"/>
  <c r="O144" i="3"/>
  <c r="AM144" i="3"/>
  <c r="K144" i="3"/>
  <c r="AK144" i="3"/>
  <c r="M144" i="3"/>
  <c r="L144" i="3"/>
  <c r="AJ144" i="3"/>
  <c r="V144" i="3"/>
  <c r="U144" i="3"/>
  <c r="N144" i="3"/>
  <c r="AA144" i="3"/>
  <c r="AF144" i="3"/>
  <c r="X144" i="3"/>
  <c r="W144" i="3"/>
  <c r="AE146" i="3"/>
  <c r="AN148" i="3"/>
  <c r="T148" i="3"/>
  <c r="AL148" i="3"/>
  <c r="R148" i="3"/>
  <c r="AD148" i="3"/>
  <c r="S148" i="3"/>
  <c r="Q148" i="3"/>
  <c r="AF148" i="3"/>
  <c r="AJ148" i="3"/>
  <c r="AG148" i="3"/>
  <c r="AE148" i="3"/>
  <c r="AB148" i="3"/>
  <c r="X148" i="3"/>
  <c r="W148" i="3"/>
  <c r="AI148" i="3"/>
  <c r="AH148" i="3"/>
  <c r="U148" i="3"/>
  <c r="Z148" i="3"/>
  <c r="V148" i="3"/>
  <c r="P148" i="3"/>
  <c r="O148" i="3"/>
  <c r="K148" i="3"/>
  <c r="AM148" i="3"/>
  <c r="AK148" i="3"/>
  <c r="AC148" i="3"/>
  <c r="AE105" i="3"/>
  <c r="K105" i="3"/>
  <c r="AC105" i="3"/>
  <c r="AF105" i="3"/>
  <c r="AI105" i="3"/>
  <c r="L105" i="3"/>
  <c r="Q105" i="3"/>
  <c r="AN105" i="3"/>
  <c r="P105" i="3"/>
  <c r="Y105" i="3"/>
  <c r="X105" i="3"/>
  <c r="AD105" i="3"/>
  <c r="AA105" i="3"/>
  <c r="S105" i="3"/>
  <c r="AL105" i="3"/>
  <c r="AB105" i="3"/>
  <c r="O105" i="3"/>
  <c r="M105" i="3"/>
  <c r="AH127" i="3"/>
  <c r="AL134" i="3"/>
  <c r="R134" i="3"/>
  <c r="AJ134" i="3"/>
  <c r="P134" i="3"/>
  <c r="AE134" i="3"/>
  <c r="AD134" i="3"/>
  <c r="V134" i="3"/>
  <c r="AC134" i="3"/>
  <c r="AG134" i="3"/>
  <c r="AF134" i="3"/>
  <c r="AA134" i="3"/>
  <c r="W134" i="3"/>
  <c r="U134" i="3"/>
  <c r="AN134" i="3"/>
  <c r="AM134" i="3"/>
  <c r="Y134" i="3"/>
  <c r="K134" i="3"/>
  <c r="S134" i="3"/>
  <c r="O134" i="3"/>
  <c r="M134" i="3"/>
  <c r="AS134" i="3"/>
  <c r="AB134" i="3"/>
  <c r="X134" i="3"/>
  <c r="V142" i="3"/>
  <c r="AN142" i="3"/>
  <c r="T142" i="3"/>
  <c r="AF142" i="3"/>
  <c r="L142" i="3"/>
  <c r="AI142" i="3"/>
  <c r="K142" i="3"/>
  <c r="AH142" i="3"/>
  <c r="Y142" i="3"/>
  <c r="X142" i="3"/>
  <c r="M142" i="3"/>
  <c r="AM142" i="3"/>
  <c r="AK142" i="3"/>
  <c r="AD142" i="3"/>
  <c r="AC142" i="3"/>
  <c r="R142" i="3"/>
  <c r="Q142" i="3"/>
  <c r="Z142" i="3"/>
  <c r="AS142" i="3"/>
  <c r="AL142" i="3"/>
  <c r="S142" i="3"/>
  <c r="U142" i="3"/>
  <c r="AM146" i="3"/>
  <c r="V62" i="3"/>
  <c r="Y62" i="3"/>
  <c r="AM62" i="3"/>
  <c r="R62" i="3"/>
  <c r="Q62" i="3"/>
  <c r="AE62" i="3"/>
  <c r="AH62" i="3"/>
  <c r="AA69" i="3"/>
  <c r="AF69" i="3"/>
  <c r="K69" i="3"/>
  <c r="Y69" i="3"/>
  <c r="S69" i="3"/>
  <c r="R69" i="3"/>
  <c r="AG69" i="3"/>
  <c r="AJ69" i="3"/>
  <c r="Y95" i="3"/>
  <c r="AJ102" i="3"/>
  <c r="P102" i="3"/>
  <c r="AH102" i="3"/>
  <c r="M102" i="3"/>
  <c r="AK102" i="3"/>
  <c r="N102" i="3"/>
  <c r="AI102" i="3"/>
  <c r="L102" i="3"/>
  <c r="AM102" i="3"/>
  <c r="K102" i="3"/>
  <c r="AL102" i="3"/>
  <c r="S102" i="3"/>
  <c r="X102" i="3"/>
  <c r="Q102" i="3"/>
  <c r="AD102" i="3"/>
  <c r="AB102" i="3"/>
  <c r="Z102" i="3"/>
  <c r="N105" i="3"/>
  <c r="R125" i="3"/>
  <c r="K128" i="3"/>
  <c r="AB142" i="3"/>
  <c r="AF121" i="3"/>
  <c r="AI131" i="3"/>
  <c r="AJ137" i="3"/>
  <c r="AI145" i="3"/>
  <c r="AC151" i="3"/>
  <c r="AA151" i="3"/>
  <c r="AM151" i="3"/>
  <c r="S151" i="3"/>
  <c r="AS151" i="3"/>
  <c r="V151" i="3"/>
  <c r="U151" i="3"/>
  <c r="T151" i="3"/>
  <c r="AH151" i="3"/>
  <c r="K151" i="3"/>
  <c r="AE151" i="3"/>
  <c r="AF151" i="3"/>
  <c r="AD151" i="3"/>
  <c r="Z151" i="3"/>
  <c r="R151" i="3"/>
  <c r="Q151" i="3"/>
  <c r="Y151" i="3"/>
  <c r="X151" i="3"/>
  <c r="L151" i="3"/>
  <c r="AJ151" i="3"/>
  <c r="AN151" i="3"/>
  <c r="AL151" i="3"/>
  <c r="AB151" i="3"/>
  <c r="P151" i="3"/>
  <c r="AL154" i="3"/>
  <c r="R154" i="3"/>
  <c r="AJ154" i="3"/>
  <c r="P154" i="3"/>
  <c r="AB154" i="3"/>
  <c r="AA154" i="3"/>
  <c r="Z154" i="3"/>
  <c r="Y154" i="3"/>
  <c r="AN154" i="3"/>
  <c r="O154" i="3"/>
  <c r="AE154" i="3"/>
  <c r="AI154" i="3"/>
  <c r="AH154" i="3"/>
  <c r="AF154" i="3"/>
  <c r="W154" i="3"/>
  <c r="V154" i="3"/>
  <c r="N154" i="3"/>
  <c r="M154" i="3"/>
  <c r="U154" i="3"/>
  <c r="AG154" i="3"/>
  <c r="AC154" i="3"/>
  <c r="K154" i="3"/>
  <c r="AD100" i="3"/>
  <c r="AS100" i="3"/>
  <c r="X100" i="3"/>
  <c r="U100" i="3"/>
  <c r="T100" i="3"/>
  <c r="AL100" i="3"/>
  <c r="N100" i="3"/>
  <c r="AK100" i="3"/>
  <c r="M100" i="3"/>
  <c r="R100" i="3"/>
  <c r="O100" i="3"/>
  <c r="AH100" i="3"/>
  <c r="AN100" i="3"/>
  <c r="AH106" i="3"/>
  <c r="N106" i="3"/>
  <c r="AF106" i="3"/>
  <c r="L106" i="3"/>
  <c r="AM106" i="3"/>
  <c r="Q106" i="3"/>
  <c r="U106" i="3"/>
  <c r="AB106" i="3"/>
  <c r="AA106" i="3"/>
  <c r="O106" i="3"/>
  <c r="M106" i="3"/>
  <c r="T106" i="3"/>
  <c r="W106" i="3"/>
  <c r="AE106" i="3"/>
  <c r="AM121" i="3"/>
  <c r="S121" i="3"/>
  <c r="AK121" i="3"/>
  <c r="Q121" i="3"/>
  <c r="AE121" i="3"/>
  <c r="AD121" i="3"/>
  <c r="O121" i="3"/>
  <c r="W121" i="3"/>
  <c r="V121" i="3"/>
  <c r="AN121" i="3"/>
  <c r="M121" i="3"/>
  <c r="AL121" i="3"/>
  <c r="L121" i="3"/>
  <c r="AA121" i="3"/>
  <c r="Z121" i="3"/>
  <c r="AG121" i="3"/>
  <c r="AJ121" i="3"/>
  <c r="AH121" i="3"/>
  <c r="Y121" i="3"/>
  <c r="AC131" i="3"/>
  <c r="AA131" i="3"/>
  <c r="AG131" i="3"/>
  <c r="K131" i="3"/>
  <c r="AF131" i="3"/>
  <c r="V131" i="3"/>
  <c r="AN131" i="3"/>
  <c r="O131" i="3"/>
  <c r="AK131" i="3"/>
  <c r="AJ131" i="3"/>
  <c r="AH131" i="3"/>
  <c r="Z131" i="3"/>
  <c r="Y131" i="3"/>
  <c r="P131" i="3"/>
  <c r="N131" i="3"/>
  <c r="AM131" i="3"/>
  <c r="T131" i="3"/>
  <c r="W131" i="3"/>
  <c r="S131" i="3"/>
  <c r="Q131" i="3"/>
  <c r="AE131" i="3"/>
  <c r="AA137" i="3"/>
  <c r="AS137" i="3"/>
  <c r="Y137" i="3"/>
  <c r="AK137" i="3"/>
  <c r="Q137" i="3"/>
  <c r="AI137" i="3"/>
  <c r="L137" i="3"/>
  <c r="AH137" i="3"/>
  <c r="K137" i="3"/>
  <c r="X137" i="3"/>
  <c r="W137" i="3"/>
  <c r="AF137" i="3"/>
  <c r="AE137" i="3"/>
  <c r="AC137" i="3"/>
  <c r="U137" i="3"/>
  <c r="T137" i="3"/>
  <c r="AD137" i="3"/>
  <c r="AB137" i="3"/>
  <c r="O137" i="3"/>
  <c r="AM137" i="3"/>
  <c r="Z137" i="3"/>
  <c r="S137" i="3"/>
  <c r="R137" i="3"/>
  <c r="P137" i="3"/>
  <c r="AN137" i="3"/>
  <c r="AE145" i="3"/>
  <c r="K145" i="3"/>
  <c r="AC145" i="3"/>
  <c r="U145" i="3"/>
  <c r="AM145" i="3"/>
  <c r="P145" i="3"/>
  <c r="AL145" i="3"/>
  <c r="O145" i="3"/>
  <c r="AB145" i="3"/>
  <c r="R145" i="3"/>
  <c r="AK145" i="3"/>
  <c r="AJ145" i="3"/>
  <c r="AH145" i="3"/>
  <c r="AA145" i="3"/>
  <c r="Z145" i="3"/>
  <c r="AS145" i="3"/>
  <c r="AG145" i="3"/>
  <c r="Q145" i="3"/>
  <c r="T145" i="3"/>
  <c r="N145" i="3"/>
  <c r="M145" i="3"/>
  <c r="L145" i="3"/>
  <c r="Y145" i="3"/>
  <c r="AF152" i="3"/>
  <c r="L152" i="3"/>
  <c r="AD152" i="3"/>
  <c r="V152" i="3"/>
  <c r="AE152" i="3"/>
  <c r="AC152" i="3"/>
  <c r="AB152" i="3"/>
  <c r="S152" i="3"/>
  <c r="R152" i="3"/>
  <c r="U152" i="3"/>
  <c r="T152" i="3"/>
  <c r="AS152" i="3"/>
  <c r="P152" i="3"/>
  <c r="AN152" i="3"/>
  <c r="K152" i="3"/>
  <c r="AM152" i="3"/>
  <c r="Y152" i="3"/>
  <c r="X152" i="3"/>
  <c r="AH152" i="3"/>
  <c r="AI152" i="3"/>
  <c r="AA152" i="3"/>
  <c r="M152" i="3"/>
  <c r="Y100" i="3"/>
  <c r="Z106" i="3"/>
  <c r="AK147" i="3"/>
  <c r="Q147" i="3"/>
  <c r="AI147" i="3"/>
  <c r="O147" i="3"/>
  <c r="AA147" i="3"/>
  <c r="AG147" i="3"/>
  <c r="AF147" i="3"/>
  <c r="W147" i="3"/>
  <c r="U147" i="3"/>
  <c r="P147" i="3"/>
  <c r="N147" i="3"/>
  <c r="L147" i="3"/>
  <c r="AJ147" i="3"/>
  <c r="AH147" i="3"/>
  <c r="AN147" i="3"/>
  <c r="AB147" i="3"/>
  <c r="AS147" i="3"/>
  <c r="K147" i="3"/>
  <c r="Z147" i="3"/>
  <c r="X147" i="3"/>
  <c r="V147" i="3"/>
  <c r="T147" i="3"/>
  <c r="AL147" i="3"/>
  <c r="AG152" i="3"/>
  <c r="V74" i="3"/>
  <c r="AI74" i="3"/>
  <c r="N74" i="3"/>
  <c r="AN74" i="3"/>
  <c r="S74" i="3"/>
  <c r="AF74" i="3"/>
  <c r="AM141" i="3"/>
  <c r="S141" i="3"/>
  <c r="AK141" i="3"/>
  <c r="Q141" i="3"/>
  <c r="AC141" i="3"/>
  <c r="Y141" i="3"/>
  <c r="X141" i="3"/>
  <c r="AL141" i="3"/>
  <c r="N141" i="3"/>
  <c r="AH141" i="3"/>
  <c r="U141" i="3"/>
  <c r="T141" i="3"/>
  <c r="AS141" i="3"/>
  <c r="P141" i="3"/>
  <c r="K141" i="3"/>
  <c r="AN141" i="3"/>
  <c r="W141" i="3"/>
  <c r="V141" i="3"/>
  <c r="AD141" i="3"/>
  <c r="P74" i="3"/>
  <c r="AM74" i="3"/>
  <c r="AJ140" i="3"/>
  <c r="P140" i="3"/>
  <c r="AH140" i="3"/>
  <c r="N140" i="3"/>
  <c r="Z140" i="3"/>
  <c r="AN140" i="3"/>
  <c r="Q140" i="3"/>
  <c r="AM140" i="3"/>
  <c r="O140" i="3"/>
  <c r="AC140" i="3"/>
  <c r="AS140" i="3"/>
  <c r="S140" i="3"/>
  <c r="AD140" i="3"/>
  <c r="AB140" i="3"/>
  <c r="Y140" i="3"/>
  <c r="U140" i="3"/>
  <c r="T140" i="3"/>
  <c r="W140" i="3"/>
  <c r="V140" i="3"/>
  <c r="AF140" i="3"/>
  <c r="P83" i="3"/>
  <c r="AK83" i="3"/>
  <c r="AF132" i="3"/>
  <c r="L132" i="3"/>
  <c r="AD132" i="3"/>
  <c r="AM132" i="3"/>
  <c r="Q132" i="3"/>
  <c r="AL132" i="3"/>
  <c r="P132" i="3"/>
  <c r="AB132" i="3"/>
  <c r="Z132" i="3"/>
  <c r="X132" i="3"/>
  <c r="W132" i="3"/>
  <c r="U132" i="3"/>
  <c r="O132" i="3"/>
  <c r="N132" i="3"/>
  <c r="AL83" i="3"/>
  <c r="X98" i="3"/>
  <c r="AK98" i="3"/>
  <c r="P98" i="3"/>
  <c r="AF98" i="3"/>
  <c r="AE98" i="3"/>
  <c r="AN108" i="3"/>
  <c r="T108" i="3"/>
  <c r="AL108" i="3"/>
  <c r="R108" i="3"/>
  <c r="AE108" i="3"/>
  <c r="AM108" i="3"/>
  <c r="O108" i="3"/>
  <c r="AG119" i="3"/>
  <c r="M119" i="3"/>
  <c r="AE119" i="3"/>
  <c r="K119" i="3"/>
  <c r="AM119" i="3"/>
  <c r="AL119" i="3"/>
  <c r="P119" i="3"/>
  <c r="R119" i="3"/>
  <c r="AI119" i="3"/>
  <c r="AJ119" i="3"/>
  <c r="X136" i="3"/>
  <c r="V136" i="3"/>
  <c r="AH136" i="3"/>
  <c r="N136" i="3"/>
  <c r="AA136" i="3"/>
  <c r="Z136" i="3"/>
  <c r="AM136" i="3"/>
  <c r="P136" i="3"/>
  <c r="AI136" i="3"/>
  <c r="AK136" i="3"/>
  <c r="Y108" i="3"/>
  <c r="T119" i="3"/>
  <c r="AS119" i="3"/>
  <c r="V122" i="3"/>
  <c r="AN122" i="3"/>
  <c r="T122" i="3"/>
  <c r="AL122" i="3"/>
  <c r="P122" i="3"/>
  <c r="AK122" i="3"/>
  <c r="O122" i="3"/>
  <c r="AB122" i="3"/>
  <c r="AH122" i="3"/>
  <c r="K136" i="3"/>
  <c r="AN136" i="3"/>
  <c r="AI153" i="3"/>
  <c r="O153" i="3"/>
  <c r="AG153" i="3"/>
  <c r="M153" i="3"/>
  <c r="AS153" i="3"/>
  <c r="Y153" i="3"/>
  <c r="R153" i="3"/>
  <c r="AN153" i="3"/>
  <c r="Q153" i="3"/>
  <c r="AM153" i="3"/>
  <c r="P153" i="3"/>
  <c r="AC153" i="3"/>
  <c r="AL153" i="3"/>
  <c r="Z108" i="3"/>
  <c r="U119" i="3"/>
  <c r="AI122" i="3"/>
  <c r="W129" i="3"/>
  <c r="U129" i="3"/>
  <c r="V129" i="3"/>
  <c r="T129" i="3"/>
  <c r="AH129" i="3"/>
  <c r="L129" i="3"/>
  <c r="P129" i="3"/>
  <c r="AJ129" i="3"/>
  <c r="L136" i="3"/>
  <c r="K153" i="3"/>
  <c r="AB124" i="3"/>
  <c r="Z124" i="3"/>
  <c r="AD124" i="3"/>
  <c r="AE124" i="3"/>
  <c r="W24" i="3" l="1"/>
  <c r="U24" i="3"/>
  <c r="I20" i="3"/>
  <c r="AI24" i="3"/>
  <c r="AH24" i="3"/>
  <c r="AH20" i="3"/>
  <c r="AM20" i="3"/>
  <c r="K20" i="3"/>
  <c r="X20" i="3"/>
  <c r="AF20" i="3"/>
  <c r="N20" i="3"/>
  <c r="AG24" i="3"/>
  <c r="AK20" i="3"/>
  <c r="AH12" i="3"/>
  <c r="L24" i="3"/>
  <c r="W20" i="3"/>
  <c r="R20" i="3"/>
  <c r="U20" i="3"/>
  <c r="S20" i="3"/>
  <c r="AC20" i="3"/>
  <c r="AM24" i="3"/>
  <c r="AD20" i="3"/>
  <c r="S24" i="3"/>
  <c r="AS24" i="3"/>
  <c r="P20" i="3"/>
  <c r="AB24" i="3"/>
  <c r="AC24" i="3"/>
  <c r="Q20" i="3"/>
  <c r="T20" i="3"/>
  <c r="V20" i="3"/>
  <c r="AS20" i="3"/>
  <c r="AL20" i="3"/>
  <c r="Y20" i="3"/>
  <c r="AE20" i="3"/>
  <c r="M20" i="3"/>
  <c r="AA24" i="3"/>
  <c r="AB20" i="3"/>
  <c r="O20" i="3"/>
  <c r="AL24" i="3"/>
  <c r="AI20" i="3"/>
  <c r="AJ20" i="3"/>
  <c r="W9" i="3"/>
  <c r="T9" i="3"/>
  <c r="AN9" i="3"/>
  <c r="S9" i="3"/>
  <c r="AI9" i="3"/>
  <c r="N9" i="3"/>
  <c r="AD9" i="3"/>
  <c r="AC9" i="3"/>
  <c r="AS9" i="3"/>
  <c r="Y9" i="3"/>
  <c r="Z9" i="3"/>
  <c r="X9" i="3"/>
  <c r="U9" i="3"/>
  <c r="R9" i="3"/>
  <c r="O9" i="3"/>
  <c r="AK9" i="3"/>
  <c r="Q9" i="3"/>
  <c r="P9" i="3"/>
  <c r="M9" i="3"/>
  <c r="K9" i="3"/>
  <c r="L9" i="3"/>
  <c r="I9" i="3"/>
  <c r="AM9" i="3"/>
  <c r="AA9" i="3"/>
  <c r="AL9" i="3"/>
  <c r="AJ9" i="3"/>
  <c r="AH9" i="3"/>
  <c r="AG9" i="3"/>
  <c r="AF9" i="3"/>
  <c r="AE9" i="3"/>
  <c r="AB9" i="3"/>
  <c r="V9" i="3"/>
  <c r="AK18" i="3"/>
  <c r="Q18" i="3"/>
  <c r="AD18" i="3"/>
  <c r="I18" i="3"/>
  <c r="V18" i="3"/>
  <c r="U18" i="3"/>
  <c r="AL18" i="3"/>
  <c r="O18" i="3"/>
  <c r="AF18" i="3"/>
  <c r="AE18" i="3"/>
  <c r="Z18" i="3"/>
  <c r="AJ18" i="3"/>
  <c r="AI18" i="3"/>
  <c r="AG18" i="3"/>
  <c r="AC18" i="3"/>
  <c r="Y18" i="3"/>
  <c r="R18" i="3"/>
  <c r="AB18" i="3"/>
  <c r="AA18" i="3"/>
  <c r="X18" i="3"/>
  <c r="T18" i="3"/>
  <c r="W18" i="3"/>
  <c r="S18" i="3"/>
  <c r="N18" i="3"/>
  <c r="AM18" i="3"/>
  <c r="P18" i="3"/>
  <c r="M18" i="3"/>
  <c r="K18" i="3"/>
  <c r="L18" i="3"/>
  <c r="AS18" i="3"/>
  <c r="AN18" i="3"/>
  <c r="AH18" i="3"/>
  <c r="AA17" i="3"/>
  <c r="AK17" i="3"/>
  <c r="P17" i="3"/>
  <c r="AJ17" i="3"/>
  <c r="O17" i="3"/>
  <c r="AE17" i="3"/>
  <c r="I17" i="3"/>
  <c r="Y17" i="3"/>
  <c r="AS17" i="3"/>
  <c r="X17" i="3"/>
  <c r="T17" i="3"/>
  <c r="M17" i="3"/>
  <c r="L17" i="3"/>
  <c r="AM17" i="3"/>
  <c r="AL17" i="3"/>
  <c r="AG17" i="3"/>
  <c r="Z17" i="3"/>
  <c r="AB17" i="3"/>
  <c r="W17" i="3"/>
  <c r="V17" i="3"/>
  <c r="U17" i="3"/>
  <c r="S17" i="3"/>
  <c r="R17" i="3"/>
  <c r="Q17" i="3"/>
  <c r="N17" i="3"/>
  <c r="AF17" i="3"/>
  <c r="K17" i="3"/>
  <c r="AN17" i="3"/>
  <c r="AD17" i="3"/>
  <c r="AI17" i="3"/>
  <c r="AH17" i="3"/>
  <c r="AC17" i="3"/>
  <c r="Z21" i="3"/>
  <c r="AM21" i="3"/>
  <c r="S21" i="3"/>
  <c r="AJ21" i="3"/>
  <c r="U21" i="3"/>
  <c r="T21" i="3"/>
  <c r="AK21" i="3"/>
  <c r="N21" i="3"/>
  <c r="AE21" i="3"/>
  <c r="AD21" i="3"/>
  <c r="Y21" i="3"/>
  <c r="AS21" i="3"/>
  <c r="O21" i="3"/>
  <c r="M21" i="3"/>
  <c r="K21" i="3"/>
  <c r="I21" i="3"/>
  <c r="AI21" i="3"/>
  <c r="AB21" i="3"/>
  <c r="AN21" i="3"/>
  <c r="AL21" i="3"/>
  <c r="AG21" i="3"/>
  <c r="AH21" i="3"/>
  <c r="AF21" i="3"/>
  <c r="AC21" i="3"/>
  <c r="AA21" i="3"/>
  <c r="X21" i="3"/>
  <c r="W21" i="3"/>
  <c r="V21" i="3"/>
  <c r="R21" i="3"/>
  <c r="P21" i="3"/>
  <c r="L21" i="3"/>
  <c r="Q21" i="3"/>
  <c r="AP6" i="3"/>
  <c r="AP8" i="3"/>
  <c r="AP11" i="3"/>
  <c r="AP10" i="3"/>
  <c r="AC22" i="3"/>
  <c r="V22" i="3"/>
  <c r="AN22" i="3"/>
  <c r="T22" i="3"/>
  <c r="AM22" i="3"/>
  <c r="S22" i="3"/>
  <c r="AF22" i="3"/>
  <c r="AE22" i="3"/>
  <c r="Y22" i="3"/>
  <c r="Q22" i="3"/>
  <c r="P22" i="3"/>
  <c r="AJ22" i="3"/>
  <c r="L22" i="3"/>
  <c r="AK22" i="3"/>
  <c r="AI22" i="3"/>
  <c r="AD22" i="3"/>
  <c r="W22" i="3"/>
  <c r="I22" i="3"/>
  <c r="AS22" i="3"/>
  <c r="AL22" i="3"/>
  <c r="N22" i="3"/>
  <c r="AH22" i="3"/>
  <c r="AG22" i="3"/>
  <c r="AB22" i="3"/>
  <c r="AA22" i="3"/>
  <c r="Z22" i="3"/>
  <c r="X22" i="3"/>
  <c r="O22" i="3"/>
  <c r="U22" i="3"/>
  <c r="M22" i="3"/>
  <c r="R22" i="3"/>
  <c r="K22" i="3"/>
  <c r="AP19" i="3"/>
  <c r="E10" i="5"/>
  <c r="L4" i="3"/>
  <c r="L7" i="3"/>
  <c r="M5" i="3"/>
  <c r="AP14" i="3"/>
  <c r="Z10" i="3" l="1"/>
  <c r="AS10" i="3"/>
  <c r="X10" i="3"/>
  <c r="W10" i="3"/>
  <c r="AM10" i="3"/>
  <c r="R10" i="3"/>
  <c r="AH10" i="3"/>
  <c r="M10" i="3"/>
  <c r="AG10" i="3"/>
  <c r="L10" i="3"/>
  <c r="AC10" i="3"/>
  <c r="P10" i="3"/>
  <c r="O10" i="3"/>
  <c r="K10" i="3"/>
  <c r="AN10" i="3"/>
  <c r="I10" i="3"/>
  <c r="AJ10" i="3"/>
  <c r="AB10" i="3"/>
  <c r="U10" i="3"/>
  <c r="T10" i="3"/>
  <c r="S10" i="3"/>
  <c r="Q10" i="3"/>
  <c r="N10" i="3"/>
  <c r="G10" i="3"/>
  <c r="AA10" i="3"/>
  <c r="AL10" i="3"/>
  <c r="AK10" i="3"/>
  <c r="AD10" i="3"/>
  <c r="AI10" i="3"/>
  <c r="AE10" i="3"/>
  <c r="Y10" i="3"/>
  <c r="AF10" i="3"/>
  <c r="V10" i="3"/>
  <c r="AL14" i="3"/>
  <c r="R14" i="3"/>
  <c r="AS14" i="3"/>
  <c r="X14" i="3"/>
  <c r="W14" i="3"/>
  <c r="AM14" i="3"/>
  <c r="Q14" i="3"/>
  <c r="AG14" i="3"/>
  <c r="L14" i="3"/>
  <c r="AF14" i="3"/>
  <c r="K14" i="3"/>
  <c r="AB14" i="3"/>
  <c r="I14" i="3"/>
  <c r="AN14" i="3"/>
  <c r="G14" i="3"/>
  <c r="AJ14" i="3"/>
  <c r="AI14" i="3"/>
  <c r="AD14" i="3"/>
  <c r="V14" i="3"/>
  <c r="U14" i="3"/>
  <c r="T14" i="3"/>
  <c r="S14" i="3"/>
  <c r="P14" i="3"/>
  <c r="O14" i="3"/>
  <c r="N14" i="3"/>
  <c r="M14" i="3"/>
  <c r="Z14" i="3"/>
  <c r="AA14" i="3"/>
  <c r="AC14" i="3"/>
  <c r="AK14" i="3"/>
  <c r="AH14" i="3"/>
  <c r="AE14" i="3"/>
  <c r="Y14" i="3"/>
  <c r="M4" i="3"/>
  <c r="M7" i="3"/>
  <c r="N5" i="3"/>
  <c r="M23" i="3"/>
  <c r="M13" i="3"/>
  <c r="AC11" i="3"/>
  <c r="AD11" i="3"/>
  <c r="AB11" i="3"/>
  <c r="W11" i="3"/>
  <c r="AM11" i="3"/>
  <c r="R11" i="3"/>
  <c r="AL11" i="3"/>
  <c r="Q11" i="3"/>
  <c r="AH11" i="3"/>
  <c r="M11" i="3"/>
  <c r="AK11" i="3"/>
  <c r="AJ11" i="3"/>
  <c r="AG11" i="3"/>
  <c r="AF11" i="3"/>
  <c r="Z11" i="3"/>
  <c r="T11" i="3"/>
  <c r="S11" i="3"/>
  <c r="P11" i="3"/>
  <c r="O11" i="3"/>
  <c r="L11" i="3"/>
  <c r="N11" i="3"/>
  <c r="K11" i="3"/>
  <c r="I11" i="3"/>
  <c r="X11" i="3"/>
  <c r="AS11" i="3"/>
  <c r="AN11" i="3"/>
  <c r="AI11" i="3"/>
  <c r="AE11" i="3"/>
  <c r="AA11" i="3"/>
  <c r="Y11" i="3"/>
  <c r="V11" i="3"/>
  <c r="U11" i="3"/>
  <c r="AN8" i="3"/>
  <c r="T8" i="3"/>
  <c r="AJ8" i="3"/>
  <c r="O8" i="3"/>
  <c r="AI8" i="3"/>
  <c r="N8" i="3"/>
  <c r="AD8" i="3"/>
  <c r="Y8" i="3"/>
  <c r="AS8" i="3"/>
  <c r="X8" i="3"/>
  <c r="S8" i="3"/>
  <c r="AG8" i="3"/>
  <c r="AF8" i="3"/>
  <c r="AC8" i="3"/>
  <c r="AB8" i="3"/>
  <c r="W8" i="3"/>
  <c r="P8" i="3"/>
  <c r="Q8" i="3"/>
  <c r="AM8" i="3"/>
  <c r="M8" i="3"/>
  <c r="L8" i="3"/>
  <c r="K8" i="3"/>
  <c r="I8" i="3"/>
  <c r="U8" i="3"/>
  <c r="AL8" i="3"/>
  <c r="AK8" i="3"/>
  <c r="AA8" i="3"/>
  <c r="AH8" i="3"/>
  <c r="AE8" i="3"/>
  <c r="V8" i="3"/>
  <c r="Z8" i="3"/>
  <c r="R8" i="3"/>
  <c r="B6" i="5"/>
  <c r="AH6" i="3"/>
  <c r="N6" i="3"/>
  <c r="Z6" i="3"/>
  <c r="Y6" i="3"/>
  <c r="T6" i="3"/>
  <c r="AJ6" i="3"/>
  <c r="O6" i="3"/>
  <c r="AI6" i="3"/>
  <c r="M6" i="3"/>
  <c r="AD6" i="3"/>
  <c r="G6" i="3"/>
  <c r="U6" i="3"/>
  <c r="S6" i="3"/>
  <c r="AS6" i="3"/>
  <c r="Q6" i="3"/>
  <c r="AN6" i="3"/>
  <c r="I6" i="3"/>
  <c r="AF6" i="3"/>
  <c r="P6" i="3"/>
  <c r="L6" i="3"/>
  <c r="K6" i="3"/>
  <c r="AM6" i="3"/>
  <c r="AK6" i="3"/>
  <c r="W6" i="3"/>
  <c r="AL6" i="3"/>
  <c r="AG6" i="3"/>
  <c r="AE6" i="3"/>
  <c r="AC6" i="3"/>
  <c r="AB6" i="3"/>
  <c r="AA6" i="3"/>
  <c r="X6" i="3"/>
  <c r="V6" i="3"/>
  <c r="R6" i="3"/>
  <c r="AN19" i="3"/>
  <c r="T19" i="3"/>
  <c r="AG19" i="3"/>
  <c r="M19" i="3"/>
  <c r="AC19" i="3"/>
  <c r="AB19" i="3"/>
  <c r="AS19" i="3"/>
  <c r="W19" i="3"/>
  <c r="AM19" i="3"/>
  <c r="Q19" i="3"/>
  <c r="AL19" i="3"/>
  <c r="P19" i="3"/>
  <c r="AH19" i="3"/>
  <c r="K19" i="3"/>
  <c r="AA19" i="3"/>
  <c r="Z19" i="3"/>
  <c r="X19" i="3"/>
  <c r="V19" i="3"/>
  <c r="R19" i="3"/>
  <c r="G19" i="3"/>
  <c r="AJ19" i="3"/>
  <c r="AI19" i="3"/>
  <c r="AF19" i="3"/>
  <c r="AE19" i="3"/>
  <c r="AD19" i="3"/>
  <c r="Y19" i="3"/>
  <c r="U19" i="3"/>
  <c r="L19" i="3"/>
  <c r="S19" i="3"/>
  <c r="O19" i="3"/>
  <c r="N19" i="3"/>
  <c r="I19" i="3"/>
  <c r="AK19" i="3"/>
  <c r="B8" i="5" l="1"/>
  <c r="B7" i="5"/>
  <c r="B11" i="5"/>
  <c r="B10" i="5"/>
  <c r="O5" i="3"/>
  <c r="N4" i="3"/>
  <c r="N23" i="3"/>
  <c r="N7" i="3"/>
  <c r="N13" i="3"/>
  <c r="E4" i="5"/>
  <c r="E5" i="5"/>
  <c r="E8" i="5"/>
  <c r="E7" i="5"/>
  <c r="E6" i="5"/>
  <c r="P5" i="3" l="1"/>
  <c r="O7" i="3"/>
  <c r="O23" i="3"/>
  <c r="O4" i="3"/>
  <c r="O13" i="3"/>
  <c r="P4" i="3" l="1"/>
  <c r="P7" i="3"/>
  <c r="Q5" i="3"/>
  <c r="P13" i="3"/>
  <c r="P23" i="3"/>
  <c r="R5" i="3" l="1"/>
  <c r="Q4" i="3"/>
  <c r="Q23" i="3"/>
  <c r="Q7" i="3"/>
  <c r="Q13" i="3"/>
  <c r="R4" i="3" l="1"/>
  <c r="R7" i="3"/>
  <c r="S5" i="3"/>
  <c r="R23" i="3"/>
  <c r="R13" i="3"/>
  <c r="S4" i="3" l="1"/>
  <c r="T5" i="3"/>
  <c r="S23" i="3"/>
  <c r="S7" i="3"/>
  <c r="S13" i="3"/>
  <c r="U5" i="3" l="1"/>
  <c r="T4" i="3"/>
  <c r="T23" i="3"/>
  <c r="T7" i="3"/>
  <c r="T13" i="3"/>
  <c r="V5" i="3" l="1"/>
  <c r="U4" i="3"/>
  <c r="U23" i="3"/>
  <c r="U7" i="3"/>
  <c r="U13" i="3"/>
  <c r="V4" i="3" l="1"/>
  <c r="V7" i="3"/>
  <c r="W5" i="3"/>
  <c r="V23" i="3"/>
  <c r="V13" i="3"/>
  <c r="X5" i="3" l="1"/>
  <c r="W7" i="3"/>
  <c r="W4" i="3"/>
  <c r="W13" i="3"/>
  <c r="W23" i="3"/>
  <c r="X4" i="3" l="1"/>
  <c r="Y5" i="3"/>
  <c r="X23" i="3"/>
  <c r="X7" i="3"/>
  <c r="X13" i="3"/>
  <c r="Z5" i="3" l="1"/>
  <c r="Y4" i="3"/>
  <c r="Y7" i="3"/>
  <c r="Y13" i="3"/>
  <c r="Y23" i="3"/>
  <c r="Z13" i="3" l="1"/>
  <c r="Z4" i="3"/>
  <c r="AA5" i="3"/>
  <c r="Z7" i="3"/>
  <c r="Z23" i="3"/>
  <c r="AA4" i="3" l="1"/>
  <c r="AB5" i="3"/>
  <c r="AA7" i="3"/>
  <c r="AA23" i="3"/>
  <c r="AA13" i="3"/>
  <c r="AB4" i="3" l="1"/>
  <c r="AC5" i="3"/>
  <c r="AB23" i="3"/>
  <c r="AB7" i="3"/>
  <c r="AB13" i="3"/>
  <c r="AC4" i="3" l="1"/>
  <c r="AD5" i="3"/>
  <c r="AC23" i="3"/>
  <c r="AC7" i="3"/>
  <c r="AC13" i="3"/>
  <c r="AE5" i="3" l="1"/>
  <c r="AD4" i="3"/>
  <c r="AD7" i="3"/>
  <c r="AD13" i="3"/>
  <c r="AD23" i="3"/>
  <c r="AE4" i="3" l="1"/>
  <c r="AF5" i="3"/>
  <c r="AE7" i="3"/>
  <c r="AE13" i="3"/>
  <c r="AE23" i="3"/>
  <c r="AF7" i="3" l="1"/>
  <c r="AF4" i="3"/>
  <c r="AG5" i="3"/>
  <c r="AF13" i="3"/>
  <c r="AF23" i="3"/>
  <c r="AG4" i="3" l="1"/>
  <c r="AH5" i="3"/>
  <c r="AG7" i="3"/>
  <c r="AG13" i="3"/>
  <c r="AG23" i="3"/>
  <c r="AH4" i="3" l="1"/>
  <c r="AI5" i="3"/>
  <c r="AH7" i="3"/>
  <c r="AH23" i="3"/>
  <c r="AH13" i="3"/>
  <c r="AJ5" i="3" l="1"/>
  <c r="AI4" i="3"/>
  <c r="AI23" i="3"/>
  <c r="AI13" i="3"/>
  <c r="AI7" i="3"/>
  <c r="AJ4" i="3" l="1"/>
  <c r="AK5" i="3"/>
  <c r="AJ7" i="3"/>
  <c r="AJ23" i="3"/>
  <c r="AJ13" i="3"/>
  <c r="AK4" i="3" l="1"/>
  <c r="AL5" i="3"/>
  <c r="AK23" i="3"/>
  <c r="AK13" i="3"/>
  <c r="AK7" i="3"/>
  <c r="AL4" i="3" l="1"/>
  <c r="AM5" i="3"/>
  <c r="AL13" i="3"/>
  <c r="AL23" i="3"/>
  <c r="AL7" i="3"/>
  <c r="AN5" i="3" l="1"/>
  <c r="AM7" i="3"/>
  <c r="AM23" i="3"/>
  <c r="AM4" i="3"/>
  <c r="AM13" i="3"/>
  <c r="AN4" i="3" l="1"/>
  <c r="AN23" i="3"/>
  <c r="AN7" i="3"/>
  <c r="AN13" i="3"/>
</calcChain>
</file>

<file path=xl/sharedStrings.xml><?xml version="1.0" encoding="utf-8"?>
<sst xmlns="http://schemas.openxmlformats.org/spreadsheetml/2006/main" count="188" uniqueCount="141">
  <si>
    <t>Gantt Chart Project Plan (Excel)</t>
  </si>
  <si>
    <t>Toolkit by GroupChatOn · free template · https://toolkit.groupchaton.com</t>
  </si>
  <si>
    <t>Type each task's start date and how many working days it takes; the workbook works out the end date (skipping your weekly offs and holidays), draws the bar across a weekly or daily timeline, shades the part already done and marks today with a red column. Late tasks turn red by themselves, so the plan tells you where to look without anyone colouring cells by hand.</t>
  </si>
  <si>
    <t>Colours</t>
  </si>
  <si>
    <t>Yellow cells: type or pick here.</t>
  </si>
  <si>
    <t>Grey and white cells: calculate by themselves. Don't type over them.</t>
  </si>
  <si>
    <t>Steps</t>
  </si>
  <si>
    <t>Open the Settings sheet. Type the project name and manager, and pick your weekly off days from the list.</t>
  </si>
  <si>
    <t>Add your public holidays and office closures on the Holidays sheet, one date per row.</t>
  </si>
  <si>
    <t>On the Plan sheet, delete the sample rows: select the yellow cells from row 6 down and press Delete.</t>
  </si>
  <si>
    <t>Add a Phase row for each stage of the project (for example Plan, Design, Build, Launch) and the tasks under it. Pick "Milestone" for a checkpoint such as "Design approved" and give it a duration of 0.</t>
  </si>
  <si>
    <t>For each task type the start date and the duration in working days. The end date, the bar and the status fill in by themselves.</t>
  </si>
  <si>
    <t>Each week, update the % done of every task that moved. The darker part of the bar grows and the Summary sheet shows the overall progress.</t>
  </si>
  <si>
    <t>To see a long project, set the scale to Weeks; to plan a short one in detail, set it to Days and the timeline start a few days before the first task.</t>
  </si>
  <si>
    <t>Tips</t>
  </si>
  <si>
    <t>•</t>
  </si>
  <si>
    <t>Keep tasks between 2 and 15 working days. Longer tasks hide problems; shorter ones turn the plan into a to-do list.</t>
  </si>
  <si>
    <t>Write tasks as outcomes ("Home page design approved") rather than activities ("Work on design") so it is clear when they are done.</t>
  </si>
  <si>
    <t>When a date slips, change the start or duration instead of colouring cells: the bars, status and summary follow.</t>
  </si>
  <si>
    <t>Use the "Depends on" column to note which task must finish first, then check those pairs whenever a date changes.</t>
  </si>
  <si>
    <t>Freeze the first columns (already done) and print with File › Print › Landscape; the sheet is set to fit one page wide.</t>
  </si>
  <si>
    <t>Full guide, questions and answers, and more free templates:</t>
  </si>
  <si>
    <t>https://toolkit.groupchaton.com/projects/pm-gantt-chart-excel/</t>
  </si>
  <si>
    <t>Designed &amp; Developed by: Nivesh Sahayak</t>
  </si>
  <si>
    <t>Free to use for your own work and your clients' work. Please don't sell or re-publish this file. The calculations are a help, not professional advice: check figures, tax rates and rules before you rely on them.</t>
  </si>
  <si>
    <t>Project settings</t>
  </si>
  <si>
    <t>Yellow cells: type or pick. The Plan and Summary sheets use these.</t>
  </si>
  <si>
    <t>Project name</t>
  </si>
  <si>
    <t>Company website redesign</t>
  </si>
  <si>
    <t>Project manager</t>
  </si>
  <si>
    <t>Priya Nair</t>
  </si>
  <si>
    <t>Weekly off days</t>
  </si>
  <si>
    <t>Saturday and Sunday</t>
  </si>
  <si>
    <t>End dates skip these days and every date on the Holidays sheet.</t>
  </si>
  <si>
    <t>Timeline starts on</t>
  </si>
  <si>
    <t>Starts on the Monday before the first task. Type any date to move the chart (for example to see later months).</t>
  </si>
  <si>
    <t>Timeline scale</t>
  </si>
  <si>
    <t>Weeks</t>
  </si>
  <si>
    <t>Weeks: each timeline column is 7 days (30 weeks shown). Days: each column is one day (30 days shown).</t>
  </si>
  <si>
    <t>Weekend code (used by formulas)</t>
  </si>
  <si>
    <t>Days per timeline column</t>
  </si>
  <si>
    <t>Project plan and Gantt chart</t>
  </si>
  <si>
    <t>Yellow: type. Grey: works itself out. Phase rows: leave Start, Duration and % done empty; they come from the tasks below.</t>
  </si>
  <si>
    <t>ID</t>
  </si>
  <si>
    <t>Task, milestone or phase</t>
  </si>
  <si>
    <t>Type</t>
  </si>
  <si>
    <t>Owner</t>
  </si>
  <si>
    <t>Start</t>
  </si>
  <si>
    <t>Duration (work days)</t>
  </si>
  <si>
    <t>End</t>
  </si>
  <si>
    <t>% done</t>
  </si>
  <si>
    <t>Status</t>
  </si>
  <si>
    <t>Depends on</t>
  </si>
  <si>
    <t>Bar start</t>
  </si>
  <si>
    <t>Bar end</t>
  </si>
  <si>
    <t>Done share</t>
  </si>
  <si>
    <t>Rows in phase</t>
  </si>
  <si>
    <t>Open milestone</t>
  </si>
  <si>
    <t>1</t>
  </si>
  <si>
    <t>Plan</t>
  </si>
  <si>
    <t>Phase</t>
  </si>
  <si>
    <t>1.1</t>
  </si>
  <si>
    <t>Project kick-off held</t>
  </si>
  <si>
    <t>Milestone</t>
  </si>
  <si>
    <t>Priya</t>
  </si>
  <si>
    <t>1.2</t>
  </si>
  <si>
    <t>Requirements and sitemap agreed</t>
  </si>
  <si>
    <t>Task</t>
  </si>
  <si>
    <t>1.3</t>
  </si>
  <si>
    <t>Content inventory of the old site</t>
  </si>
  <si>
    <t>Sana</t>
  </si>
  <si>
    <t>2</t>
  </si>
  <si>
    <t>Design</t>
  </si>
  <si>
    <t>2.1</t>
  </si>
  <si>
    <t>Home page and key page mockups</t>
  </si>
  <si>
    <t>Arjun</t>
  </si>
  <si>
    <t>2.2</t>
  </si>
  <si>
    <t>Mobile layouts and style guide</t>
  </si>
  <si>
    <t>2.3</t>
  </si>
  <si>
    <t>Design approved by sponsor</t>
  </si>
  <si>
    <t>3</t>
  </si>
  <si>
    <t>Build</t>
  </si>
  <si>
    <t>3.1</t>
  </si>
  <si>
    <t>Hosting and staging site set up</t>
  </si>
  <si>
    <t>Vikram</t>
  </si>
  <si>
    <t>3.2</t>
  </si>
  <si>
    <t>Page templates built</t>
  </si>
  <si>
    <t>3.3</t>
  </si>
  <si>
    <t>Page content written and edited</t>
  </si>
  <si>
    <t>3.4</t>
  </si>
  <si>
    <t>Contact form and analytics working</t>
  </si>
  <si>
    <t>4</t>
  </si>
  <si>
    <t>Test and launch</t>
  </si>
  <si>
    <t>4.1</t>
  </si>
  <si>
    <t>Tested on phones and browsers</t>
  </si>
  <si>
    <t>Meera</t>
  </si>
  <si>
    <t>4.2</t>
  </si>
  <si>
    <t>Defects fixed, final review</t>
  </si>
  <si>
    <t>4.3</t>
  </si>
  <si>
    <t>Staff trained to edit pages</t>
  </si>
  <si>
    <t>4.4</t>
  </si>
  <si>
    <t>Website live</t>
  </si>
  <si>
    <t>4.5</t>
  </si>
  <si>
    <t>Post-launch check and handover</t>
  </si>
  <si>
    <t>Holidays and office closures</t>
  </si>
  <si>
    <t>One date per row. End dates on the Plan skip these days.</t>
  </si>
  <si>
    <t>Date</t>
  </si>
  <si>
    <t>Holiday</t>
  </si>
  <si>
    <t>Christmas Day</t>
  </si>
  <si>
    <t>New Year's Day</t>
  </si>
  <si>
    <t>Republic Day (India): replace with your own holidays</t>
  </si>
  <si>
    <t>Project summary</t>
  </si>
  <si>
    <t>Everything here works itself out from the Plan sheet.</t>
  </si>
  <si>
    <t>Project</t>
  </si>
  <si>
    <t>Tasks by status</t>
  </si>
  <si>
    <t>Count</t>
  </si>
  <si>
    <t>Done</t>
  </si>
  <si>
    <t>Planned start</t>
  </si>
  <si>
    <t>In progress</t>
  </si>
  <si>
    <t>Planned finish</t>
  </si>
  <si>
    <t>Late</t>
  </si>
  <si>
    <t>Working days in the plan</t>
  </si>
  <si>
    <t>Not started</t>
  </si>
  <si>
    <t>Time gone (calendar)</t>
  </si>
  <si>
    <t>Not planned</t>
  </si>
  <si>
    <t>Work done (weighted by duration)</t>
  </si>
  <si>
    <t>All tasks</t>
  </si>
  <si>
    <t>Next open milestone</t>
  </si>
  <si>
    <t>Milestones done</t>
  </si>
  <si>
    <t>Milestone date</t>
  </si>
  <si>
    <t>When work done is well behind time gone, the project is probably late even if no single task shows Late yet.</t>
  </si>
  <si>
    <t>0000011</t>
  </si>
  <si>
    <t>Sunday only</t>
  </si>
  <si>
    <t>0000001</t>
  </si>
  <si>
    <t>Days</t>
  </si>
  <si>
    <t>Friday and Saturday</t>
  </si>
  <si>
    <t>0000110</t>
  </si>
  <si>
    <t>Friday only</t>
  </si>
  <si>
    <t>0000100</t>
  </si>
  <si>
    <t>No weekly off</t>
  </si>
  <si>
    <t>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</si>
</sst>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14" x14ac:knownFonts="1">
    <font>
      <sz val="11"/>
      <color theme="1"/>
      <name val="Calibri"/>
      <family val="2"/>
      <scheme val="minor"/>
    </font>
    <font>
      <b/>
      <sz val="16"/>
      <color rgb="FF2563EB"/>
      <name val="Calibri"/>
    </font>
    <font>
      <i/>
      <sz val="10"/>
      <color rgb="FF55607A"/>
      <name val="Calibri"/>
    </font>
    <font>
      <sz val="11"/>
      <color rgb="FF14213D"/>
      <name val="Calibri"/>
    </font>
    <font>
      <b/>
      <sz val="12"/>
      <color rgb="FF2563EB"/>
      <name val="Calibri"/>
    </font>
    <font>
      <b/>
      <sz val="11"/>
      <color rgb="FF2563EB"/>
      <name val="Calibri"/>
    </font>
    <font>
      <b/>
      <sz val="11"/>
      <color rgb="FF14213D"/>
      <name val="Calibri"/>
    </font>
    <font>
      <u/>
      <sz val="11"/>
      <color rgb="FF2563EB"/>
      <name val="Calibri"/>
    </font>
    <font>
      <b/>
      <sz val="11"/>
      <color rgb="FF14213D"/>
      <name val="Calibri"/>
    </font>
    <font>
      <sz val="9"/>
      <color rgb="FF55607A"/>
      <name val="Calibri"/>
    </font>
    <font>
      <b/>
      <sz val="11"/>
      <color rgb="FFFFFFFF"/>
      <name val="Calibri"/>
    </font>
    <font>
      <b/>
      <sz val="8"/>
      <color rgb="FFFFFFFF"/>
      <name val="Calibri"/>
    </font>
    <font>
      <b/>
      <sz val="8"/>
      <color rgb="FF7C3AED"/>
      <name val="Calibri"/>
    </font>
    <font>
      <b/>
      <sz val="10"/>
      <color rgb="FFD97706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1F5F9"/>
      </patternFill>
    </fill>
    <fill>
      <patternFill patternType="solid">
        <fgColor rgb="FF2563EB"/>
      </patternFill>
    </fill>
    <fill>
      <patternFill patternType="solid">
        <fgColor rgb="FFE8F0FE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hair">
        <color rgb="FFE2E8F0"/>
      </left>
      <right style="hair">
        <color rgb="FFE2E8F0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0" fillId="2" borderId="0" xfId="0" applyFill="1"/>
    <xf numFmtId="0" fontId="0" fillId="3" borderId="0" xfId="0" applyFill="1"/>
    <xf numFmtId="0" fontId="5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top" wrapText="1"/>
    </xf>
    <xf numFmtId="0" fontId="6" fillId="0" borderId="0" xfId="0" applyFont="1"/>
    <xf numFmtId="0" fontId="0" fillId="2" borderId="1" xfId="0" applyFill="1" applyBorder="1" applyAlignment="1" applyProtection="1">
      <alignment horizontal="left" vertical="center"/>
      <protection locked="0"/>
    </xf>
    <xf numFmtId="164" fontId="0" fillId="2" borderId="1" xfId="0" applyNumberFormat="1" applyFill="1" applyBorder="1" applyAlignment="1" applyProtection="1">
      <alignment horizontal="left" vertical="center"/>
      <protection locked="0"/>
    </xf>
    <xf numFmtId="0" fontId="0" fillId="3" borderId="1" xfId="0" applyFill="1" applyBorder="1" applyAlignment="1">
      <alignment horizontal="left" vertical="center"/>
    </xf>
    <xf numFmtId="0" fontId="12" fillId="0" borderId="0" xfId="0" applyFont="1"/>
    <xf numFmtId="0" fontId="10" fillId="4" borderId="1" xfId="0" applyFont="1" applyFill="1" applyBorder="1" applyAlignment="1">
      <alignment horizontal="center" vertical="center" wrapText="1"/>
    </xf>
    <xf numFmtId="15" fontId="11" fillId="4" borderId="1" xfId="0" applyNumberFormat="1" applyFont="1" applyFill="1" applyBorder="1" applyAlignment="1">
      <alignment horizontal="center" vertical="center" textRotation="90"/>
    </xf>
    <xf numFmtId="0" fontId="0" fillId="2" borderId="1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3" borderId="1" xfId="0" applyNumberFormat="1" applyFill="1" applyBorder="1"/>
    <xf numFmtId="9" fontId="0" fillId="2" borderId="1" xfId="0" applyNumberFormat="1" applyFill="1" applyBorder="1" applyProtection="1">
      <protection locked="0"/>
    </xf>
    <xf numFmtId="0" fontId="0" fillId="3" borderId="1" xfId="0" applyFill="1" applyBorder="1"/>
    <xf numFmtId="0" fontId="13" fillId="0" borderId="2" xfId="0" applyFont="1" applyBorder="1" applyAlignment="1">
      <alignment horizontal="center" vertical="center"/>
    </xf>
    <xf numFmtId="0" fontId="0" fillId="0" borderId="1" xfId="0" applyBorder="1"/>
    <xf numFmtId="0" fontId="0" fillId="3" borderId="1" xfId="0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left" vertical="center"/>
    </xf>
    <xf numFmtId="1" fontId="0" fillId="3" borderId="1" xfId="0" applyNumberFormat="1" applyFill="1" applyBorder="1" applyAlignment="1">
      <alignment horizontal="left" vertical="center"/>
    </xf>
    <xf numFmtId="9" fontId="0" fillId="3" borderId="1" xfId="0" applyNumberFormat="1" applyFill="1" applyBorder="1" applyAlignment="1">
      <alignment horizontal="left" vertical="center"/>
    </xf>
    <xf numFmtId="9" fontId="6" fillId="3" borderId="1" xfId="0" applyNumberFormat="1" applyFont="1" applyFill="1" applyBorder="1" applyAlignment="1">
      <alignment horizontal="left" vertical="center"/>
    </xf>
    <xf numFmtId="0" fontId="6" fillId="5" borderId="1" xfId="0" applyFont="1" applyFill="1" applyBorder="1"/>
    <xf numFmtId="0" fontId="6" fillId="5" borderId="1" xfId="0" applyFont="1" applyFill="1" applyBorder="1" applyAlignment="1">
      <alignment horizontal="center" vertical="center"/>
    </xf>
    <xf numFmtId="0" fontId="9" fillId="0" borderId="0" xfId="0" applyFont="1" applyAlignment="1">
      <alignment vertical="top" wrapText="1"/>
    </xf>
    <xf numFmtId="0" fontId="0" fillId="0" borderId="0" xfId="0"/>
  </cellXfs>
  <cellStyles count="1">
    <cellStyle name="Normal" xfId="0" builtinId="0"/>
  </cellStyles>
  <dxfs count="11">
    <dxf>
      <fill>
        <patternFill patternType="solid">
          <fgColor rgb="FFF1F5F9"/>
          <bgColor rgb="FFF1F5F9"/>
        </patternFill>
      </fill>
    </dxf>
    <dxf>
      <fill>
        <patternFill patternType="solid">
          <fgColor rgb="FFFEE2E2"/>
          <bgColor rgb="FFFEE2E2"/>
        </patternFill>
      </fill>
      <border>
        <left style="medium">
          <color rgb="FFDC2626"/>
        </left>
        <right style="medium">
          <color rgb="FFDC2626"/>
        </right>
      </border>
    </dxf>
    <dxf>
      <fill>
        <patternFill patternType="solid">
          <fgColor rgb="FFC4B5FD"/>
          <bgColor rgb="FFC4B5FD"/>
        </patternFill>
      </fill>
    </dxf>
    <dxf>
      <fill>
        <patternFill patternType="solid">
          <fgColor rgb="FFF87171"/>
          <bgColor rgb="FFF87171"/>
        </patternFill>
      </fill>
    </dxf>
    <dxf>
      <fill>
        <patternFill patternType="solid">
          <fgColor rgb="FF6D28D9"/>
          <bgColor rgb="FF6D28D9"/>
        </patternFill>
      </fill>
    </dxf>
    <dxf>
      <fill>
        <patternFill patternType="solid">
          <fgColor rgb="FFA78BFA"/>
          <bgColor rgb="FFA78BFA"/>
        </patternFill>
      </fill>
    </dxf>
    <dxf>
      <fill>
        <patternFill patternType="solid">
          <fgColor rgb="FF3B0764"/>
          <bgColor rgb="FF3B0764"/>
        </patternFill>
      </fill>
    </dxf>
    <dxf>
      <fill>
        <patternFill patternType="solid">
          <fgColor rgb="FFDC2626"/>
          <bgColor rgb="FFDC2626"/>
        </patternFill>
      </fill>
    </dxf>
    <dxf>
      <font>
        <color rgb="FF64748B"/>
      </font>
    </dxf>
    <dxf>
      <font>
        <color rgb="FF991B1B"/>
      </font>
      <fill>
        <patternFill patternType="solid">
          <fgColor rgb="FFFEE2E2"/>
          <bgColor rgb="FFFEE2E2"/>
        </patternFill>
      </fill>
    </dxf>
    <dxf>
      <font>
        <b/>
        <color rgb="FF3B0764"/>
      </font>
      <fill>
        <patternFill patternType="solid">
          <fgColor rgb="FFEDE9FE"/>
          <bgColor rgb="FFEDE9F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t>Tasks by status</a:t>
            </a:r>
          </a:p>
        </c:rich>
      </c:tx>
      <c:overlay val="1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Summary!$E$3</c:f>
              <c:strCache>
                <c:ptCount val="1"/>
                <c:pt idx="0">
                  <c:v>Count</c:v>
                </c:pt>
              </c:strCache>
            </c:strRef>
          </c:tx>
          <c:spPr>
            <a:solidFill>
              <a:srgbClr val="7C3AED"/>
            </a:solidFill>
            <a:ln>
              <a:prstDash val="solid"/>
            </a:ln>
          </c:spPr>
          <c:invertIfNegative val="1"/>
          <c:cat>
            <c:strRef>
              <c:f>Summary!$D$4:$D$7</c:f>
              <c:strCache>
                <c:ptCount val="4"/>
                <c:pt idx="0">
                  <c:v>Done</c:v>
                </c:pt>
                <c:pt idx="1">
                  <c:v>In progress</c:v>
                </c:pt>
                <c:pt idx="2">
                  <c:v>Late</c:v>
                </c:pt>
                <c:pt idx="3">
                  <c:v>Not started</c:v>
                </c:pt>
              </c:strCache>
            </c:strRef>
          </c:cat>
          <c:val>
            <c:numRef>
              <c:f>Summary!$E$4:$E$7</c:f>
              <c:numCache>
                <c:formatCode>General</c:formatCode>
                <c:ptCount val="4"/>
                <c:pt idx="0">
                  <c:v>4</c:v>
                </c:pt>
                <c:pt idx="1">
                  <c:v>1</c:v>
                </c:pt>
                <c:pt idx="2">
                  <c:v>1</c:v>
                </c:pt>
                <c:pt idx="3">
                  <c:v>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1F58-4828-AFF4-F9FFC5623A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b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14</xdr:row>
      <xdr:rowOff>0</xdr:rowOff>
    </xdr:from>
    <xdr:ext cx="4680000" cy="234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niveshsahayak.in/" TargetMode="External"/><Relationship Id="rId1" Type="http://schemas.openxmlformats.org/officeDocument/2006/relationships/hyperlink" Target="https://toolkit.groupchaton.com/projects/pm-gantt-chart-excel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6A34A"/>
    <pageSetUpPr fitToPage="1"/>
  </sheetPr>
  <dimension ref="A1:B30"/>
  <sheetViews>
    <sheetView showGridLines="0" tabSelected="1" workbookViewId="0"/>
  </sheetViews>
  <sheetFormatPr defaultRowHeight="14.4" x14ac:dyDescent="0.3"/>
  <cols>
    <col min="1" max="1" width="4" customWidth="1"/>
    <col min="2" max="2" width="100" customWidth="1"/>
  </cols>
  <sheetData>
    <row r="1" spans="1:2" ht="25.95" customHeight="1" x14ac:dyDescent="0.4">
      <c r="A1" s="1" t="s">
        <v>0</v>
      </c>
    </row>
    <row r="2" spans="1:2" x14ac:dyDescent="0.3">
      <c r="A2" s="2" t="s">
        <v>1</v>
      </c>
    </row>
    <row r="4" spans="1:2" ht="60" customHeight="1" x14ac:dyDescent="0.3">
      <c r="B4" s="3" t="s">
        <v>2</v>
      </c>
    </row>
    <row r="6" spans="1:2" ht="18" customHeight="1" x14ac:dyDescent="0.3">
      <c r="B6" s="4" t="s">
        <v>3</v>
      </c>
    </row>
    <row r="7" spans="1:2" ht="18" customHeight="1" x14ac:dyDescent="0.3">
      <c r="A7" s="5"/>
      <c r="B7" s="3" t="s">
        <v>4</v>
      </c>
    </row>
    <row r="8" spans="1:2" ht="18" customHeight="1" x14ac:dyDescent="0.3">
      <c r="A8" s="6"/>
      <c r="B8" s="3" t="s">
        <v>5</v>
      </c>
    </row>
    <row r="10" spans="1:2" ht="18" customHeight="1" x14ac:dyDescent="0.3">
      <c r="B10" s="4" t="s">
        <v>6</v>
      </c>
    </row>
    <row r="11" spans="1:2" ht="30" customHeight="1" x14ac:dyDescent="0.3">
      <c r="A11" s="7">
        <v>1</v>
      </c>
      <c r="B11" s="3" t="s">
        <v>7</v>
      </c>
    </row>
    <row r="12" spans="1:2" ht="18" customHeight="1" x14ac:dyDescent="0.3">
      <c r="A12" s="7">
        <v>2</v>
      </c>
      <c r="B12" s="3" t="s">
        <v>8</v>
      </c>
    </row>
    <row r="13" spans="1:2" ht="30" customHeight="1" x14ac:dyDescent="0.3">
      <c r="A13" s="7">
        <v>3</v>
      </c>
      <c r="B13" s="3" t="s">
        <v>9</v>
      </c>
    </row>
    <row r="14" spans="1:2" ht="45" customHeight="1" x14ac:dyDescent="0.3">
      <c r="A14" s="7">
        <v>4</v>
      </c>
      <c r="B14" s="3" t="s">
        <v>10</v>
      </c>
    </row>
    <row r="15" spans="1:2" ht="30" customHeight="1" x14ac:dyDescent="0.3">
      <c r="A15" s="7">
        <v>5</v>
      </c>
      <c r="B15" s="3" t="s">
        <v>11</v>
      </c>
    </row>
    <row r="16" spans="1:2" ht="30" customHeight="1" x14ac:dyDescent="0.3">
      <c r="A16" s="7">
        <v>6</v>
      </c>
      <c r="B16" s="3" t="s">
        <v>12</v>
      </c>
    </row>
    <row r="17" spans="1:2" ht="30" customHeight="1" x14ac:dyDescent="0.3">
      <c r="A17" s="7">
        <v>7</v>
      </c>
      <c r="B17" s="3" t="s">
        <v>13</v>
      </c>
    </row>
    <row r="19" spans="1:2" ht="18" customHeight="1" x14ac:dyDescent="0.3">
      <c r="B19" s="4" t="s">
        <v>14</v>
      </c>
    </row>
    <row r="20" spans="1:2" ht="30" customHeight="1" x14ac:dyDescent="0.3">
      <c r="A20" t="s">
        <v>15</v>
      </c>
      <c r="B20" s="3" t="s">
        <v>16</v>
      </c>
    </row>
    <row r="21" spans="1:2" ht="30" customHeight="1" x14ac:dyDescent="0.3">
      <c r="A21" t="s">
        <v>15</v>
      </c>
      <c r="B21" s="3" t="s">
        <v>17</v>
      </c>
    </row>
    <row r="22" spans="1:2" ht="30" customHeight="1" x14ac:dyDescent="0.3">
      <c r="A22" t="s">
        <v>15</v>
      </c>
      <c r="B22" s="3" t="s">
        <v>18</v>
      </c>
    </row>
    <row r="23" spans="1:2" ht="30" customHeight="1" x14ac:dyDescent="0.3">
      <c r="A23" t="s">
        <v>15</v>
      </c>
      <c r="B23" s="3" t="s">
        <v>19</v>
      </c>
    </row>
    <row r="24" spans="1:2" ht="30" customHeight="1" x14ac:dyDescent="0.3">
      <c r="A24" t="s">
        <v>15</v>
      </c>
      <c r="B24" s="3" t="s">
        <v>20</v>
      </c>
    </row>
    <row r="26" spans="1:2" ht="18" customHeight="1" x14ac:dyDescent="0.3">
      <c r="B26" s="8" t="s">
        <v>21</v>
      </c>
    </row>
    <row r="27" spans="1:2" x14ac:dyDescent="0.3">
      <c r="B27" s="9" t="s">
        <v>22</v>
      </c>
    </row>
    <row r="29" spans="1:2" x14ac:dyDescent="0.3">
      <c r="B29" s="10" t="s">
        <v>23</v>
      </c>
    </row>
    <row r="30" spans="1:2" ht="45" customHeight="1" x14ac:dyDescent="0.3">
      <c r="B30" s="11" t="s">
        <v>24</v>
      </c>
    </row>
  </sheetData>
  <hyperlinks>
    <hyperlink ref="B27" r:id="rId1" xr:uid="{00000000-0004-0000-0000-000000000000}"/>
    <hyperlink ref="B29" r:id="rId2" xr:uid="{00000000-0004-0000-0000-000001000000}"/>
  </hyperlinks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C3AED"/>
    <pageSetUpPr fitToPage="1"/>
  </sheetPr>
  <dimension ref="A1:D10"/>
  <sheetViews>
    <sheetView showGridLines="0" workbookViewId="0"/>
  </sheetViews>
  <sheetFormatPr defaultRowHeight="14.4" x14ac:dyDescent="0.3"/>
  <cols>
    <col min="1" max="1" width="30" customWidth="1"/>
    <col min="2" max="2" width="26" customWidth="1"/>
    <col min="3" max="3" width="4" customWidth="1"/>
    <col min="4" max="4" width="60" customWidth="1"/>
  </cols>
  <sheetData>
    <row r="1" spans="1:4" ht="25.95" customHeight="1" x14ac:dyDescent="0.4">
      <c r="A1" s="1" t="s">
        <v>25</v>
      </c>
    </row>
    <row r="2" spans="1:4" x14ac:dyDescent="0.3">
      <c r="A2" s="2" t="s">
        <v>26</v>
      </c>
    </row>
    <row r="3" spans="1:4" x14ac:dyDescent="0.3">
      <c r="A3" s="12" t="s">
        <v>27</v>
      </c>
      <c r="B3" s="13" t="s">
        <v>28</v>
      </c>
    </row>
    <row r="4" spans="1:4" x14ac:dyDescent="0.3">
      <c r="A4" s="12" t="s">
        <v>29</v>
      </c>
      <c r="B4" s="13" t="s">
        <v>30</v>
      </c>
    </row>
    <row r="5" spans="1:4" x14ac:dyDescent="0.3">
      <c r="A5" s="12" t="s">
        <v>31</v>
      </c>
      <c r="B5" s="13" t="s">
        <v>32</v>
      </c>
      <c r="D5" s="11" t="s">
        <v>33</v>
      </c>
    </row>
    <row r="6" spans="1:4" ht="24" x14ac:dyDescent="0.3">
      <c r="A6" s="12" t="s">
        <v>34</v>
      </c>
      <c r="B6" s="14">
        <f ca="1">IF(COUNT(Plan!$E$6:$E$155)=0,TODAY()-WEEKDAY(TODAY(),3),MIN(Plan!$E$6:$E$155)-WEEKDAY(MIN(Plan!$E$6:$E$155),3))</f>
        <v>46307</v>
      </c>
      <c r="D6" s="11" t="s">
        <v>35</v>
      </c>
    </row>
    <row r="7" spans="1:4" ht="24" x14ac:dyDescent="0.3">
      <c r="A7" s="12" t="s">
        <v>36</v>
      </c>
      <c r="B7" s="13" t="s">
        <v>37</v>
      </c>
      <c r="D7" s="11" t="s">
        <v>38</v>
      </c>
    </row>
    <row r="9" spans="1:4" x14ac:dyDescent="0.3">
      <c r="A9" s="12" t="s">
        <v>39</v>
      </c>
      <c r="B9" s="15" t="str">
        <f>IFERROR(VLOOKUP(B5,Lists!$A$1:$B$5,2,FALSE),"0000011")</f>
        <v>0000011</v>
      </c>
    </row>
    <row r="10" spans="1:4" x14ac:dyDescent="0.3">
      <c r="A10" s="12" t="s">
        <v>40</v>
      </c>
      <c r="B10" s="15">
        <f>IF(B7="Days",1,7)</f>
        <v>7</v>
      </c>
    </row>
  </sheetData>
  <sheetProtection sheet="1" formatCells="0" formatColumns="0" formatRows="0" sort="0" autoFilter="0"/>
  <pageMargins left="0.4" right="0.4" top="1" bottom="1" header="0.5" footer="0.5"/>
  <pageSetup paperSize="9" fitToHeight="0"/>
  <headerFooter>
    <oddFooter>&amp;C&amp;8 Toolkit by GroupChatOn  ·  toolkit.groupchaton.com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promptTitle="Pick from the list" prompt="Days nobody works. End dates skip them." xr:uid="{00000000-0002-0000-0100-000000000000}">
          <x14:formula1>
            <xm:f>Lists!$A$1:$A$5</xm:f>
          </x14:formula1>
          <xm:sqref>B5</xm:sqref>
        </x14:dataValidation>
        <x14:dataValidation type="list" allowBlank="1" showInputMessage="1" promptTitle="Pick from the list" prompt="Weeks for long projects, Days for detail" xr:uid="{00000000-0002-0000-0100-000001000000}">
          <x14:formula1>
            <xm:f>Lists!$D$1:$D$2</xm:f>
          </x14:formula1>
          <xm:sqref>B7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C3AED"/>
    <pageSetUpPr fitToPage="1"/>
  </sheetPr>
  <dimension ref="A1:AS155"/>
  <sheetViews>
    <sheetView showGridLines="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6" customWidth="1"/>
    <col min="2" max="2" width="36" customWidth="1"/>
    <col min="3" max="3" width="11" customWidth="1"/>
    <col min="4" max="4" width="12" customWidth="1"/>
    <col min="5" max="5" width="13" customWidth="1"/>
    <col min="6" max="6" width="9" customWidth="1"/>
    <col min="7" max="7" width="13" customWidth="1"/>
    <col min="8" max="8" width="8" customWidth="1"/>
    <col min="9" max="9" width="11" customWidth="1"/>
    <col min="10" max="10" width="10" customWidth="1"/>
    <col min="11" max="40" width="4.33203125" customWidth="1"/>
    <col min="41" max="45" width="13" hidden="1" customWidth="1"/>
  </cols>
  <sheetData>
    <row r="1" spans="1:45" ht="25.95" customHeight="1" x14ac:dyDescent="0.4">
      <c r="A1" s="1" t="s">
        <v>41</v>
      </c>
    </row>
    <row r="2" spans="1:45" x14ac:dyDescent="0.3">
      <c r="A2" s="2" t="s">
        <v>42</v>
      </c>
    </row>
    <row r="3" spans="1:45" x14ac:dyDescent="0.3">
      <c r="A3" s="12" t="str">
        <f>"Project: "&amp;Settings!B3&amp;"   ·   Manager: "&amp;Settings!B4&amp;"   ·   Weekly off: "&amp;Settings!B5</f>
        <v>Project: Company website redesign   ·   Manager: Priya Nair   ·   Weekly off: Saturday and Sunday</v>
      </c>
      <c r="AO3">
        <f>Settings!$B$10</f>
        <v>7</v>
      </c>
      <c r="AP3" t="str">
        <f>Settings!$B$9</f>
        <v>0000011</v>
      </c>
    </row>
    <row r="4" spans="1:45" x14ac:dyDescent="0.3">
      <c r="K4" s="16" t="str">
        <f ca="1">CHOOSE(MONTH(K5),"Jan","Feb","Mar","Apr","May","Jun","Jul","Aug","Sep","Oct","Nov","Dec")</f>
        <v>Oct</v>
      </c>
      <c r="L4" s="16" t="str">
        <f t="shared" ref="L4:AN4" ca="1" si="0">IF(MONTH(L5)&lt;&gt;MONTH(K5),CHOOSE(MONTH(L5),"Jan","Feb","Mar","Apr","May","Jun","Jul","Aug","Sep","Oct","Nov","Dec"),"")</f>
        <v/>
      </c>
      <c r="M4" s="16" t="str">
        <f t="shared" ca="1" si="0"/>
        <v/>
      </c>
      <c r="N4" s="16" t="str">
        <f t="shared" ca="1" si="0"/>
        <v>Nov</v>
      </c>
      <c r="O4" s="16" t="str">
        <f t="shared" ca="1" si="0"/>
        <v/>
      </c>
      <c r="P4" s="16" t="str">
        <f t="shared" ca="1" si="0"/>
        <v/>
      </c>
      <c r="Q4" s="16" t="str">
        <f t="shared" ca="1" si="0"/>
        <v/>
      </c>
      <c r="R4" s="16" t="str">
        <f t="shared" ca="1" si="0"/>
        <v/>
      </c>
      <c r="S4" s="16" t="str">
        <f t="shared" ca="1" si="0"/>
        <v>Dec</v>
      </c>
      <c r="T4" s="16" t="str">
        <f t="shared" ca="1" si="0"/>
        <v/>
      </c>
      <c r="U4" s="16" t="str">
        <f t="shared" ca="1" si="0"/>
        <v/>
      </c>
      <c r="V4" s="16" t="str">
        <f t="shared" ca="1" si="0"/>
        <v/>
      </c>
      <c r="W4" s="16" t="str">
        <f t="shared" ca="1" si="0"/>
        <v>Jan</v>
      </c>
      <c r="X4" s="16" t="str">
        <f t="shared" ca="1" si="0"/>
        <v/>
      </c>
      <c r="Y4" s="16" t="str">
        <f t="shared" ca="1" si="0"/>
        <v/>
      </c>
      <c r="Z4" s="16" t="str">
        <f t="shared" ca="1" si="0"/>
        <v/>
      </c>
      <c r="AA4" s="16" t="str">
        <f t="shared" ca="1" si="0"/>
        <v>Feb</v>
      </c>
      <c r="AB4" s="16" t="str">
        <f t="shared" ca="1" si="0"/>
        <v/>
      </c>
      <c r="AC4" s="16" t="str">
        <f t="shared" ca="1" si="0"/>
        <v/>
      </c>
      <c r="AD4" s="16" t="str">
        <f t="shared" ca="1" si="0"/>
        <v/>
      </c>
      <c r="AE4" s="16" t="str">
        <f t="shared" ca="1" si="0"/>
        <v>Mar</v>
      </c>
      <c r="AF4" s="16" t="str">
        <f t="shared" ca="1" si="0"/>
        <v/>
      </c>
      <c r="AG4" s="16" t="str">
        <f t="shared" ca="1" si="0"/>
        <v/>
      </c>
      <c r="AH4" s="16" t="str">
        <f t="shared" ca="1" si="0"/>
        <v/>
      </c>
      <c r="AI4" s="16" t="str">
        <f t="shared" ca="1" si="0"/>
        <v/>
      </c>
      <c r="AJ4" s="16" t="str">
        <f t="shared" ca="1" si="0"/>
        <v>Apr</v>
      </c>
      <c r="AK4" s="16" t="str">
        <f t="shared" ca="1" si="0"/>
        <v/>
      </c>
      <c r="AL4" s="16" t="str">
        <f t="shared" ca="1" si="0"/>
        <v/>
      </c>
      <c r="AM4" s="16" t="str">
        <f t="shared" ca="1" si="0"/>
        <v/>
      </c>
      <c r="AN4" s="16" t="str">
        <f t="shared" ca="1" si="0"/>
        <v>May</v>
      </c>
    </row>
    <row r="5" spans="1:45" ht="55.95" customHeight="1" x14ac:dyDescent="0.3">
      <c r="A5" s="17" t="s">
        <v>43</v>
      </c>
      <c r="B5" s="17" t="s">
        <v>44</v>
      </c>
      <c r="C5" s="17" t="s">
        <v>45</v>
      </c>
      <c r="D5" s="17" t="s">
        <v>46</v>
      </c>
      <c r="E5" s="17" t="s">
        <v>47</v>
      </c>
      <c r="F5" s="17" t="s">
        <v>48</v>
      </c>
      <c r="G5" s="17" t="s">
        <v>49</v>
      </c>
      <c r="H5" s="17" t="s">
        <v>50</v>
      </c>
      <c r="I5" s="17" t="s">
        <v>51</v>
      </c>
      <c r="J5" s="17" t="s">
        <v>52</v>
      </c>
      <c r="K5" s="18">
        <f ca="1">Settings!$B$6</f>
        <v>46307</v>
      </c>
      <c r="L5" s="18">
        <f t="shared" ref="L5:AN5" ca="1" si="1">K5+$AO$3</f>
        <v>46314</v>
      </c>
      <c r="M5" s="18">
        <f t="shared" ca="1" si="1"/>
        <v>46321</v>
      </c>
      <c r="N5" s="18">
        <f t="shared" ca="1" si="1"/>
        <v>46328</v>
      </c>
      <c r="O5" s="18">
        <f t="shared" ca="1" si="1"/>
        <v>46335</v>
      </c>
      <c r="P5" s="18">
        <f t="shared" ca="1" si="1"/>
        <v>46342</v>
      </c>
      <c r="Q5" s="18">
        <f t="shared" ca="1" si="1"/>
        <v>46349</v>
      </c>
      <c r="R5" s="18">
        <f t="shared" ca="1" si="1"/>
        <v>46356</v>
      </c>
      <c r="S5" s="18">
        <f t="shared" ca="1" si="1"/>
        <v>46363</v>
      </c>
      <c r="T5" s="18">
        <f t="shared" ca="1" si="1"/>
        <v>46370</v>
      </c>
      <c r="U5" s="18">
        <f t="shared" ca="1" si="1"/>
        <v>46377</v>
      </c>
      <c r="V5" s="18">
        <f t="shared" ca="1" si="1"/>
        <v>46384</v>
      </c>
      <c r="W5" s="18">
        <f t="shared" ca="1" si="1"/>
        <v>46391</v>
      </c>
      <c r="X5" s="18">
        <f t="shared" ca="1" si="1"/>
        <v>46398</v>
      </c>
      <c r="Y5" s="18">
        <f t="shared" ca="1" si="1"/>
        <v>46405</v>
      </c>
      <c r="Z5" s="18">
        <f t="shared" ca="1" si="1"/>
        <v>46412</v>
      </c>
      <c r="AA5" s="18">
        <f t="shared" ca="1" si="1"/>
        <v>46419</v>
      </c>
      <c r="AB5" s="18">
        <f t="shared" ca="1" si="1"/>
        <v>46426</v>
      </c>
      <c r="AC5" s="18">
        <f t="shared" ca="1" si="1"/>
        <v>46433</v>
      </c>
      <c r="AD5" s="18">
        <f t="shared" ca="1" si="1"/>
        <v>46440</v>
      </c>
      <c r="AE5" s="18">
        <f t="shared" ca="1" si="1"/>
        <v>46447</v>
      </c>
      <c r="AF5" s="18">
        <f t="shared" ca="1" si="1"/>
        <v>46454</v>
      </c>
      <c r="AG5" s="18">
        <f t="shared" ca="1" si="1"/>
        <v>46461</v>
      </c>
      <c r="AH5" s="18">
        <f t="shared" ca="1" si="1"/>
        <v>46468</v>
      </c>
      <c r="AI5" s="18">
        <f t="shared" ca="1" si="1"/>
        <v>46475</v>
      </c>
      <c r="AJ5" s="18">
        <f t="shared" ca="1" si="1"/>
        <v>46482</v>
      </c>
      <c r="AK5" s="18">
        <f t="shared" ca="1" si="1"/>
        <v>46489</v>
      </c>
      <c r="AL5" s="18">
        <f t="shared" ca="1" si="1"/>
        <v>46496</v>
      </c>
      <c r="AM5" s="18">
        <f t="shared" ca="1" si="1"/>
        <v>46503</v>
      </c>
      <c r="AN5" s="18">
        <f t="shared" ca="1" si="1"/>
        <v>46510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</row>
    <row r="6" spans="1:45" x14ac:dyDescent="0.3">
      <c r="A6" s="19" t="s">
        <v>58</v>
      </c>
      <c r="B6" s="19" t="s">
        <v>59</v>
      </c>
      <c r="C6" s="19" t="s">
        <v>60</v>
      </c>
      <c r="D6" s="19"/>
      <c r="E6" s="20"/>
      <c r="F6" s="19"/>
      <c r="G6" s="21">
        <f>IF($C6="Phase",$AP6,IF(OR($E6="",$F6=""),"",IF(N($F6)&lt;=0,$E6,WORKDAY.INTL($E6,$F6-1,Settings!$B$9,Holidays!$A$4:$A$103))))</f>
        <v>46315</v>
      </c>
      <c r="H6" s="22"/>
      <c r="I6" s="23" t="str">
        <f t="shared" ref="I6:I37" ca="1" si="2">IF($B6="","",IF($AP6="","Not planned",IF(N($AQ6)&gt;=1,"Done",IF($AP6&lt;TODAY(),"Late",IF($AO6&lt;=TODAY(),"In progress","Not started")))))</f>
        <v>Done</v>
      </c>
      <c r="J6" s="19"/>
      <c r="K6" s="24" t="str">
        <f t="shared" ref="K6:T15" si="3">IF(AND($C6="Milestone",$AP6&lt;&gt;""),IF(AND($AP6&gt;=K$5,$AP6&lt;K$5+$AO$3),"◆",""),"")</f>
        <v/>
      </c>
      <c r="L6" s="24" t="str">
        <f t="shared" si="3"/>
        <v/>
      </c>
      <c r="M6" s="24" t="str">
        <f t="shared" si="3"/>
        <v/>
      </c>
      <c r="N6" s="24" t="str">
        <f t="shared" si="3"/>
        <v/>
      </c>
      <c r="O6" s="24" t="str">
        <f t="shared" si="3"/>
        <v/>
      </c>
      <c r="P6" s="24" t="str">
        <f t="shared" si="3"/>
        <v/>
      </c>
      <c r="Q6" s="24" t="str">
        <f t="shared" si="3"/>
        <v/>
      </c>
      <c r="R6" s="24" t="str">
        <f t="shared" si="3"/>
        <v/>
      </c>
      <c r="S6" s="24" t="str">
        <f t="shared" si="3"/>
        <v/>
      </c>
      <c r="T6" s="24" t="str">
        <f t="shared" si="3"/>
        <v/>
      </c>
      <c r="U6" s="24" t="str">
        <f t="shared" ref="U6:AD15" si="4">IF(AND($C6="Milestone",$AP6&lt;&gt;""),IF(AND($AP6&gt;=U$5,$AP6&lt;U$5+$AO$3),"◆",""),"")</f>
        <v/>
      </c>
      <c r="V6" s="24" t="str">
        <f t="shared" si="4"/>
        <v/>
      </c>
      <c r="W6" s="24" t="str">
        <f t="shared" si="4"/>
        <v/>
      </c>
      <c r="X6" s="24" t="str">
        <f t="shared" si="4"/>
        <v/>
      </c>
      <c r="Y6" s="24" t="str">
        <f t="shared" si="4"/>
        <v/>
      </c>
      <c r="Z6" s="24" t="str">
        <f t="shared" si="4"/>
        <v/>
      </c>
      <c r="AA6" s="24" t="str">
        <f t="shared" si="4"/>
        <v/>
      </c>
      <c r="AB6" s="24" t="str">
        <f t="shared" si="4"/>
        <v/>
      </c>
      <c r="AC6" s="24" t="str">
        <f t="shared" si="4"/>
        <v/>
      </c>
      <c r="AD6" s="24" t="str">
        <f t="shared" si="4"/>
        <v/>
      </c>
      <c r="AE6" s="24" t="str">
        <f t="shared" ref="AE6:AN15" si="5">IF(AND($C6="Milestone",$AP6&lt;&gt;""),IF(AND($AP6&gt;=AE$5,$AP6&lt;AE$5+$AO$3),"◆",""),"")</f>
        <v/>
      </c>
      <c r="AF6" s="24" t="str">
        <f t="shared" si="5"/>
        <v/>
      </c>
      <c r="AG6" s="24" t="str">
        <f t="shared" si="5"/>
        <v/>
      </c>
      <c r="AH6" s="24" t="str">
        <f t="shared" si="5"/>
        <v/>
      </c>
      <c r="AI6" s="24" t="str">
        <f t="shared" si="5"/>
        <v/>
      </c>
      <c r="AJ6" s="24" t="str">
        <f t="shared" si="5"/>
        <v/>
      </c>
      <c r="AK6" s="24" t="str">
        <f t="shared" si="5"/>
        <v/>
      </c>
      <c r="AL6" s="24" t="str">
        <f t="shared" si="5"/>
        <v/>
      </c>
      <c r="AM6" s="24" t="str">
        <f t="shared" si="5"/>
        <v/>
      </c>
      <c r="AN6" s="24" t="str">
        <f t="shared" si="5"/>
        <v/>
      </c>
      <c r="AO6">
        <f>IF($C6="Phase",IF($AR6=0,"",IF(COUNT(E7:INDEX(E$6:E$156,1+$AR6))=0,"",MIN(E7:INDEX(E$6:E$156,1+$AR6)))),IF($E6="","",$E6))</f>
        <v>46307</v>
      </c>
      <c r="AP6">
        <f>IF($C6="Phase",IF($AO6="","",MAX(G7:INDEX(G$6:G$156,1+$AR6))),IF($G6="","",$G6))</f>
        <v>46315</v>
      </c>
      <c r="AQ6">
        <f>IF($C6="Phase",IF($AR6=0,0,IF(SUM(F7:INDEX(F$6:F$156,1+$AR6))=0,0,SUMPRODUCT(F7:INDEX(F$6:F$156,1+$AR6),H7:INDEX(H$6:H$156,1+$AR6))/SUM(F7:INDEX(F$6:F$156,1+$AR6)))),N($H6))</f>
        <v>1</v>
      </c>
      <c r="AR6">
        <f>IF($C6&lt;&gt;"Phase",0,IFERROR(MATCH("Phase",$C7:$C$156,0)-1,149))</f>
        <v>3</v>
      </c>
      <c r="AS6" t="str">
        <f t="shared" ref="AS6:AS37" si="6">IF(AND($C6="Milestone",$AP6&lt;&gt;"",N($H6)&lt;1),$AP6,"")</f>
        <v/>
      </c>
    </row>
    <row r="7" spans="1:45" x14ac:dyDescent="0.3">
      <c r="A7" s="19" t="s">
        <v>61</v>
      </c>
      <c r="B7" s="19" t="s">
        <v>62</v>
      </c>
      <c r="C7" s="19" t="s">
        <v>63</v>
      </c>
      <c r="D7" s="19" t="s">
        <v>64</v>
      </c>
      <c r="E7" s="20">
        <v>46307</v>
      </c>
      <c r="F7" s="19">
        <v>0</v>
      </c>
      <c r="G7" s="21">
        <f>IF($C7="Phase",$AP7,IF(OR($E7="",$F7=""),"",IF(N($F7)&lt;=0,$E7,WORKDAY.INTL($E7,$F7-1,Settings!$B$9,Holidays!$A$4:$A$103))))</f>
        <v>46307</v>
      </c>
      <c r="H7" s="22">
        <v>1</v>
      </c>
      <c r="I7" s="23" t="str">
        <f t="shared" ca="1" si="2"/>
        <v>Done</v>
      </c>
      <c r="J7" s="19"/>
      <c r="K7" s="24" t="str">
        <f t="shared" ca="1" si="3"/>
        <v>◆</v>
      </c>
      <c r="L7" s="24" t="str">
        <f t="shared" ca="1" si="3"/>
        <v/>
      </c>
      <c r="M7" s="24" t="str">
        <f t="shared" ca="1" si="3"/>
        <v/>
      </c>
      <c r="N7" s="24" t="str">
        <f t="shared" ca="1" si="3"/>
        <v/>
      </c>
      <c r="O7" s="24" t="str">
        <f t="shared" ca="1" si="3"/>
        <v/>
      </c>
      <c r="P7" s="24" t="str">
        <f t="shared" ca="1" si="3"/>
        <v/>
      </c>
      <c r="Q7" s="24" t="str">
        <f t="shared" ca="1" si="3"/>
        <v/>
      </c>
      <c r="R7" s="24" t="str">
        <f t="shared" ca="1" si="3"/>
        <v/>
      </c>
      <c r="S7" s="24" t="str">
        <f t="shared" ca="1" si="3"/>
        <v/>
      </c>
      <c r="T7" s="24" t="str">
        <f t="shared" ca="1" si="3"/>
        <v/>
      </c>
      <c r="U7" s="24" t="str">
        <f t="shared" ca="1" si="4"/>
        <v/>
      </c>
      <c r="V7" s="24" t="str">
        <f t="shared" ca="1" si="4"/>
        <v/>
      </c>
      <c r="W7" s="24" t="str">
        <f t="shared" ca="1" si="4"/>
        <v/>
      </c>
      <c r="X7" s="24" t="str">
        <f t="shared" ca="1" si="4"/>
        <v/>
      </c>
      <c r="Y7" s="24" t="str">
        <f t="shared" ca="1" si="4"/>
        <v/>
      </c>
      <c r="Z7" s="24" t="str">
        <f t="shared" ca="1" si="4"/>
        <v/>
      </c>
      <c r="AA7" s="24" t="str">
        <f t="shared" ca="1" si="4"/>
        <v/>
      </c>
      <c r="AB7" s="24" t="str">
        <f t="shared" ca="1" si="4"/>
        <v/>
      </c>
      <c r="AC7" s="24" t="str">
        <f t="shared" ca="1" si="4"/>
        <v/>
      </c>
      <c r="AD7" s="24" t="str">
        <f t="shared" ca="1" si="4"/>
        <v/>
      </c>
      <c r="AE7" s="24" t="str">
        <f t="shared" ca="1" si="5"/>
        <v/>
      </c>
      <c r="AF7" s="24" t="str">
        <f t="shared" ca="1" si="5"/>
        <v/>
      </c>
      <c r="AG7" s="24" t="str">
        <f t="shared" ca="1" si="5"/>
        <v/>
      </c>
      <c r="AH7" s="24" t="str">
        <f t="shared" ca="1" si="5"/>
        <v/>
      </c>
      <c r="AI7" s="24" t="str">
        <f t="shared" ca="1" si="5"/>
        <v/>
      </c>
      <c r="AJ7" s="24" t="str">
        <f t="shared" ca="1" si="5"/>
        <v/>
      </c>
      <c r="AK7" s="24" t="str">
        <f t="shared" ca="1" si="5"/>
        <v/>
      </c>
      <c r="AL7" s="24" t="str">
        <f t="shared" ca="1" si="5"/>
        <v/>
      </c>
      <c r="AM7" s="24" t="str">
        <f t="shared" ca="1" si="5"/>
        <v/>
      </c>
      <c r="AN7" s="24" t="str">
        <f t="shared" ca="1" si="5"/>
        <v/>
      </c>
      <c r="AO7">
        <f>IF($C7="Phase",IF($AR7=0,"",IF(COUNT(E8:INDEX(E$6:E$156,2+$AR7))=0,"",MIN(E8:INDEX(E$6:E$156,2+$AR7)))),IF($E7="","",$E7))</f>
        <v>46307</v>
      </c>
      <c r="AP7">
        <f>IF($C7="Phase",IF($AO7="","",MAX(G8:INDEX(G$6:G$156,2+$AR7))),IF($G7="","",$G7))</f>
        <v>46307</v>
      </c>
      <c r="AQ7">
        <f>IF($C7="Phase",IF($AR7=0,0,IF(SUM(F8:INDEX(F$6:F$156,2+$AR7))=0,0,SUMPRODUCT(F8:INDEX(F$6:F$156,2+$AR7),H8:INDEX(H$6:H$156,2+$AR7))/SUM(F8:INDEX(F$6:F$156,2+$AR7)))),N($H7))</f>
        <v>1</v>
      </c>
      <c r="AR7">
        <f>IF($C7&lt;&gt;"Phase",0,IFERROR(MATCH("Phase",$C8:$C$156,0)-1,148))</f>
        <v>0</v>
      </c>
      <c r="AS7" t="str">
        <f t="shared" si="6"/>
        <v/>
      </c>
    </row>
    <row r="8" spans="1:45" x14ac:dyDescent="0.3">
      <c r="A8" s="19" t="s">
        <v>65</v>
      </c>
      <c r="B8" s="19" t="s">
        <v>66</v>
      </c>
      <c r="C8" s="19" t="s">
        <v>67</v>
      </c>
      <c r="D8" s="19" t="s">
        <v>64</v>
      </c>
      <c r="E8" s="20">
        <v>46307</v>
      </c>
      <c r="F8" s="19">
        <v>5</v>
      </c>
      <c r="G8" s="21">
        <f>IF($C8="Phase",$AP8,IF(OR($E8="",$F8=""),"",IF(N($F8)&lt;=0,$E8,WORKDAY.INTL($E8,$F8-1,Settings!$B$9,Holidays!$A$4:$A$103))))</f>
        <v>46311</v>
      </c>
      <c r="H8" s="22">
        <v>1</v>
      </c>
      <c r="I8" s="23" t="str">
        <f t="shared" ca="1" si="2"/>
        <v>Done</v>
      </c>
      <c r="J8" s="19" t="s">
        <v>61</v>
      </c>
      <c r="K8" s="24" t="str">
        <f t="shared" si="3"/>
        <v/>
      </c>
      <c r="L8" s="24" t="str">
        <f t="shared" si="3"/>
        <v/>
      </c>
      <c r="M8" s="24" t="str">
        <f t="shared" si="3"/>
        <v/>
      </c>
      <c r="N8" s="24" t="str">
        <f t="shared" si="3"/>
        <v/>
      </c>
      <c r="O8" s="24" t="str">
        <f t="shared" si="3"/>
        <v/>
      </c>
      <c r="P8" s="24" t="str">
        <f t="shared" si="3"/>
        <v/>
      </c>
      <c r="Q8" s="24" t="str">
        <f t="shared" si="3"/>
        <v/>
      </c>
      <c r="R8" s="24" t="str">
        <f t="shared" si="3"/>
        <v/>
      </c>
      <c r="S8" s="24" t="str">
        <f t="shared" si="3"/>
        <v/>
      </c>
      <c r="T8" s="24" t="str">
        <f t="shared" si="3"/>
        <v/>
      </c>
      <c r="U8" s="24" t="str">
        <f t="shared" si="4"/>
        <v/>
      </c>
      <c r="V8" s="24" t="str">
        <f t="shared" si="4"/>
        <v/>
      </c>
      <c r="W8" s="24" t="str">
        <f t="shared" si="4"/>
        <v/>
      </c>
      <c r="X8" s="24" t="str">
        <f t="shared" si="4"/>
        <v/>
      </c>
      <c r="Y8" s="24" t="str">
        <f t="shared" si="4"/>
        <v/>
      </c>
      <c r="Z8" s="24" t="str">
        <f t="shared" si="4"/>
        <v/>
      </c>
      <c r="AA8" s="24" t="str">
        <f t="shared" si="4"/>
        <v/>
      </c>
      <c r="AB8" s="24" t="str">
        <f t="shared" si="4"/>
        <v/>
      </c>
      <c r="AC8" s="24" t="str">
        <f t="shared" si="4"/>
        <v/>
      </c>
      <c r="AD8" s="24" t="str">
        <f t="shared" si="4"/>
        <v/>
      </c>
      <c r="AE8" s="24" t="str">
        <f t="shared" si="5"/>
        <v/>
      </c>
      <c r="AF8" s="24" t="str">
        <f t="shared" si="5"/>
        <v/>
      </c>
      <c r="AG8" s="24" t="str">
        <f t="shared" si="5"/>
        <v/>
      </c>
      <c r="AH8" s="24" t="str">
        <f t="shared" si="5"/>
        <v/>
      </c>
      <c r="AI8" s="24" t="str">
        <f t="shared" si="5"/>
        <v/>
      </c>
      <c r="AJ8" s="24" t="str">
        <f t="shared" si="5"/>
        <v/>
      </c>
      <c r="AK8" s="24" t="str">
        <f t="shared" si="5"/>
        <v/>
      </c>
      <c r="AL8" s="24" t="str">
        <f t="shared" si="5"/>
        <v/>
      </c>
      <c r="AM8" s="24" t="str">
        <f t="shared" si="5"/>
        <v/>
      </c>
      <c r="AN8" s="24" t="str">
        <f t="shared" si="5"/>
        <v/>
      </c>
      <c r="AO8">
        <f>IF($C8="Phase",IF($AR8=0,"",IF(COUNT(E9:INDEX(E$6:E$156,3+$AR8))=0,"",MIN(E9:INDEX(E$6:E$156,3+$AR8)))),IF($E8="","",$E8))</f>
        <v>46307</v>
      </c>
      <c r="AP8">
        <f>IF($C8="Phase",IF($AO8="","",MAX(G9:INDEX(G$6:G$156,3+$AR8))),IF($G8="","",$G8))</f>
        <v>46311</v>
      </c>
      <c r="AQ8">
        <f>IF($C8="Phase",IF($AR8=0,0,IF(SUM(F9:INDEX(F$6:F$156,3+$AR8))=0,0,SUMPRODUCT(F9:INDEX(F$6:F$156,3+$AR8),H9:INDEX(H$6:H$156,3+$AR8))/SUM(F9:INDEX(F$6:F$156,3+$AR8)))),N($H8))</f>
        <v>1</v>
      </c>
      <c r="AR8">
        <f>IF($C8&lt;&gt;"Phase",0,IFERROR(MATCH("Phase",$C9:$C$156,0)-1,147))</f>
        <v>0</v>
      </c>
      <c r="AS8" t="str">
        <f t="shared" si="6"/>
        <v/>
      </c>
    </row>
    <row r="9" spans="1:45" x14ac:dyDescent="0.3">
      <c r="A9" s="19" t="s">
        <v>68</v>
      </c>
      <c r="B9" s="19" t="s">
        <v>69</v>
      </c>
      <c r="C9" s="19" t="s">
        <v>67</v>
      </c>
      <c r="D9" s="19" t="s">
        <v>70</v>
      </c>
      <c r="E9" s="20">
        <v>46310</v>
      </c>
      <c r="F9" s="19">
        <v>4</v>
      </c>
      <c r="G9" s="21">
        <f>IF($C9="Phase",$AP9,IF(OR($E9="",$F9=""),"",IF(N($F9)&lt;=0,$E9,WORKDAY.INTL($E9,$F9-1,Settings!$B$9,Holidays!$A$4:$A$103))))</f>
        <v>46315</v>
      </c>
      <c r="H9" s="22">
        <v>1</v>
      </c>
      <c r="I9" s="23" t="str">
        <f t="shared" ca="1" si="2"/>
        <v>Done</v>
      </c>
      <c r="J9" s="19"/>
      <c r="K9" s="24" t="str">
        <f t="shared" si="3"/>
        <v/>
      </c>
      <c r="L9" s="24" t="str">
        <f t="shared" si="3"/>
        <v/>
      </c>
      <c r="M9" s="24" t="str">
        <f t="shared" si="3"/>
        <v/>
      </c>
      <c r="N9" s="24" t="str">
        <f t="shared" si="3"/>
        <v/>
      </c>
      <c r="O9" s="24" t="str">
        <f t="shared" si="3"/>
        <v/>
      </c>
      <c r="P9" s="24" t="str">
        <f t="shared" si="3"/>
        <v/>
      </c>
      <c r="Q9" s="24" t="str">
        <f t="shared" si="3"/>
        <v/>
      </c>
      <c r="R9" s="24" t="str">
        <f t="shared" si="3"/>
        <v/>
      </c>
      <c r="S9" s="24" t="str">
        <f t="shared" si="3"/>
        <v/>
      </c>
      <c r="T9" s="24" t="str">
        <f t="shared" si="3"/>
        <v/>
      </c>
      <c r="U9" s="24" t="str">
        <f t="shared" si="4"/>
        <v/>
      </c>
      <c r="V9" s="24" t="str">
        <f t="shared" si="4"/>
        <v/>
      </c>
      <c r="W9" s="24" t="str">
        <f t="shared" si="4"/>
        <v/>
      </c>
      <c r="X9" s="24" t="str">
        <f t="shared" si="4"/>
        <v/>
      </c>
      <c r="Y9" s="24" t="str">
        <f t="shared" si="4"/>
        <v/>
      </c>
      <c r="Z9" s="24" t="str">
        <f t="shared" si="4"/>
        <v/>
      </c>
      <c r="AA9" s="24" t="str">
        <f t="shared" si="4"/>
        <v/>
      </c>
      <c r="AB9" s="24" t="str">
        <f t="shared" si="4"/>
        <v/>
      </c>
      <c r="AC9" s="24" t="str">
        <f t="shared" si="4"/>
        <v/>
      </c>
      <c r="AD9" s="24" t="str">
        <f t="shared" si="4"/>
        <v/>
      </c>
      <c r="AE9" s="24" t="str">
        <f t="shared" si="5"/>
        <v/>
      </c>
      <c r="AF9" s="24" t="str">
        <f t="shared" si="5"/>
        <v/>
      </c>
      <c r="AG9" s="24" t="str">
        <f t="shared" si="5"/>
        <v/>
      </c>
      <c r="AH9" s="24" t="str">
        <f t="shared" si="5"/>
        <v/>
      </c>
      <c r="AI9" s="24" t="str">
        <f t="shared" si="5"/>
        <v/>
      </c>
      <c r="AJ9" s="24" t="str">
        <f t="shared" si="5"/>
        <v/>
      </c>
      <c r="AK9" s="24" t="str">
        <f t="shared" si="5"/>
        <v/>
      </c>
      <c r="AL9" s="24" t="str">
        <f t="shared" si="5"/>
        <v/>
      </c>
      <c r="AM9" s="24" t="str">
        <f t="shared" si="5"/>
        <v/>
      </c>
      <c r="AN9" s="24" t="str">
        <f t="shared" si="5"/>
        <v/>
      </c>
      <c r="AO9">
        <f>IF($C9="Phase",IF($AR9=0,"",IF(COUNT(E10:INDEX(E$6:E$156,4+$AR9))=0,"",MIN(E10:INDEX(E$6:E$156,4+$AR9)))),IF($E9="","",$E9))</f>
        <v>46310</v>
      </c>
      <c r="AP9">
        <f>IF($C9="Phase",IF($AO9="","",MAX(G10:INDEX(G$6:G$156,4+$AR9))),IF($G9="","",$G9))</f>
        <v>46315</v>
      </c>
      <c r="AQ9">
        <f>IF($C9="Phase",IF($AR9=0,0,IF(SUM(F10:INDEX(F$6:F$156,4+$AR9))=0,0,SUMPRODUCT(F10:INDEX(F$6:F$156,4+$AR9),H10:INDEX(H$6:H$156,4+$AR9))/SUM(F10:INDEX(F$6:F$156,4+$AR9)))),N($H9))</f>
        <v>1</v>
      </c>
      <c r="AR9">
        <f>IF($C9&lt;&gt;"Phase",0,IFERROR(MATCH("Phase",$C10:$C$156,0)-1,146))</f>
        <v>0</v>
      </c>
      <c r="AS9" t="str">
        <f t="shared" si="6"/>
        <v/>
      </c>
    </row>
    <row r="10" spans="1:45" x14ac:dyDescent="0.3">
      <c r="A10" s="19" t="s">
        <v>71</v>
      </c>
      <c r="B10" s="19" t="s">
        <v>72</v>
      </c>
      <c r="C10" s="19" t="s">
        <v>60</v>
      </c>
      <c r="D10" s="19"/>
      <c r="E10" s="20"/>
      <c r="F10" s="19"/>
      <c r="G10" s="21">
        <f>IF($C10="Phase",$AP10,IF(OR($E10="",$F10=""),"",IF(N($F10)&lt;=0,$E10,WORKDAY.INTL($E10,$F10-1,Settings!$B$9,Holidays!$A$4:$A$103))))</f>
        <v>46329</v>
      </c>
      <c r="H10" s="22"/>
      <c r="I10" s="23" t="str">
        <f t="shared" ca="1" si="2"/>
        <v>In progress</v>
      </c>
      <c r="J10" s="19"/>
      <c r="K10" s="24" t="str">
        <f t="shared" si="3"/>
        <v/>
      </c>
      <c r="L10" s="24" t="str">
        <f t="shared" si="3"/>
        <v/>
      </c>
      <c r="M10" s="24" t="str">
        <f t="shared" si="3"/>
        <v/>
      </c>
      <c r="N10" s="24" t="str">
        <f t="shared" si="3"/>
        <v/>
      </c>
      <c r="O10" s="24" t="str">
        <f t="shared" si="3"/>
        <v/>
      </c>
      <c r="P10" s="24" t="str">
        <f t="shared" si="3"/>
        <v/>
      </c>
      <c r="Q10" s="24" t="str">
        <f t="shared" si="3"/>
        <v/>
      </c>
      <c r="R10" s="24" t="str">
        <f t="shared" si="3"/>
        <v/>
      </c>
      <c r="S10" s="24" t="str">
        <f t="shared" si="3"/>
        <v/>
      </c>
      <c r="T10" s="24" t="str">
        <f t="shared" si="3"/>
        <v/>
      </c>
      <c r="U10" s="24" t="str">
        <f t="shared" si="4"/>
        <v/>
      </c>
      <c r="V10" s="24" t="str">
        <f t="shared" si="4"/>
        <v/>
      </c>
      <c r="W10" s="24" t="str">
        <f t="shared" si="4"/>
        <v/>
      </c>
      <c r="X10" s="24" t="str">
        <f t="shared" si="4"/>
        <v/>
      </c>
      <c r="Y10" s="24" t="str">
        <f t="shared" si="4"/>
        <v/>
      </c>
      <c r="Z10" s="24" t="str">
        <f t="shared" si="4"/>
        <v/>
      </c>
      <c r="AA10" s="24" t="str">
        <f t="shared" si="4"/>
        <v/>
      </c>
      <c r="AB10" s="24" t="str">
        <f t="shared" si="4"/>
        <v/>
      </c>
      <c r="AC10" s="24" t="str">
        <f t="shared" si="4"/>
        <v/>
      </c>
      <c r="AD10" s="24" t="str">
        <f t="shared" si="4"/>
        <v/>
      </c>
      <c r="AE10" s="24" t="str">
        <f t="shared" si="5"/>
        <v/>
      </c>
      <c r="AF10" s="24" t="str">
        <f t="shared" si="5"/>
        <v/>
      </c>
      <c r="AG10" s="24" t="str">
        <f t="shared" si="5"/>
        <v/>
      </c>
      <c r="AH10" s="24" t="str">
        <f t="shared" si="5"/>
        <v/>
      </c>
      <c r="AI10" s="24" t="str">
        <f t="shared" si="5"/>
        <v/>
      </c>
      <c r="AJ10" s="24" t="str">
        <f t="shared" si="5"/>
        <v/>
      </c>
      <c r="AK10" s="24" t="str">
        <f t="shared" si="5"/>
        <v/>
      </c>
      <c r="AL10" s="24" t="str">
        <f t="shared" si="5"/>
        <v/>
      </c>
      <c r="AM10" s="24" t="str">
        <f t="shared" si="5"/>
        <v/>
      </c>
      <c r="AN10" s="24" t="str">
        <f t="shared" si="5"/>
        <v/>
      </c>
      <c r="AO10">
        <f>IF($C10="Phase",IF($AR10=0,"",IF(COUNT(E11:INDEX(E$6:E$156,5+$AR10))=0,"",MIN(E11:INDEX(E$6:E$156,5+$AR10)))),IF($E10="","",$E10))</f>
        <v>46314</v>
      </c>
      <c r="AP10">
        <f>IF($C10="Phase",IF($AO10="","",MAX(G11:INDEX(G$6:G$156,5+$AR10))),IF($G10="","",$G10))</f>
        <v>46329</v>
      </c>
      <c r="AQ10">
        <f>IF($C10="Phase",IF($AR10=0,0,IF(SUM(F11:INDEX(F$6:F$156,5+$AR10))=0,0,SUMPRODUCT(F11:INDEX(F$6:F$156,5+$AR10),H11:INDEX(H$6:H$156,5+$AR10))/SUM(F11:INDEX(F$6:F$156,5+$AR10)))),N($H10))</f>
        <v>0.92307692307692313</v>
      </c>
      <c r="AR10">
        <f>IF($C10&lt;&gt;"Phase",0,IFERROR(MATCH("Phase",$C11:$C$156,0)-1,145))</f>
        <v>3</v>
      </c>
      <c r="AS10" t="str">
        <f t="shared" si="6"/>
        <v/>
      </c>
    </row>
    <row r="11" spans="1:45" x14ac:dyDescent="0.3">
      <c r="A11" s="19" t="s">
        <v>73</v>
      </c>
      <c r="B11" s="19" t="s">
        <v>74</v>
      </c>
      <c r="C11" s="19" t="s">
        <v>67</v>
      </c>
      <c r="D11" s="19" t="s">
        <v>75</v>
      </c>
      <c r="E11" s="20">
        <v>46314</v>
      </c>
      <c r="F11" s="19">
        <v>8</v>
      </c>
      <c r="G11" s="21">
        <f>IF($C11="Phase",$AP11,IF(OR($E11="",$F11=""),"",IF(N($F11)&lt;=0,$E11,WORKDAY.INTL($E11,$F11-1,Settings!$B$9,Holidays!$A$4:$A$103))))</f>
        <v>46323</v>
      </c>
      <c r="H11" s="22">
        <v>1</v>
      </c>
      <c r="I11" s="23" t="str">
        <f t="shared" ca="1" si="2"/>
        <v>Done</v>
      </c>
      <c r="J11" s="19" t="s">
        <v>65</v>
      </c>
      <c r="K11" s="24" t="str">
        <f t="shared" si="3"/>
        <v/>
      </c>
      <c r="L11" s="24" t="str">
        <f t="shared" si="3"/>
        <v/>
      </c>
      <c r="M11" s="24" t="str">
        <f t="shared" si="3"/>
        <v/>
      </c>
      <c r="N11" s="24" t="str">
        <f t="shared" si="3"/>
        <v/>
      </c>
      <c r="O11" s="24" t="str">
        <f t="shared" si="3"/>
        <v/>
      </c>
      <c r="P11" s="24" t="str">
        <f t="shared" si="3"/>
        <v/>
      </c>
      <c r="Q11" s="24" t="str">
        <f t="shared" si="3"/>
        <v/>
      </c>
      <c r="R11" s="24" t="str">
        <f t="shared" si="3"/>
        <v/>
      </c>
      <c r="S11" s="24" t="str">
        <f t="shared" si="3"/>
        <v/>
      </c>
      <c r="T11" s="24" t="str">
        <f t="shared" si="3"/>
        <v/>
      </c>
      <c r="U11" s="24" t="str">
        <f t="shared" si="4"/>
        <v/>
      </c>
      <c r="V11" s="24" t="str">
        <f t="shared" si="4"/>
        <v/>
      </c>
      <c r="W11" s="24" t="str">
        <f t="shared" si="4"/>
        <v/>
      </c>
      <c r="X11" s="24" t="str">
        <f t="shared" si="4"/>
        <v/>
      </c>
      <c r="Y11" s="24" t="str">
        <f t="shared" si="4"/>
        <v/>
      </c>
      <c r="Z11" s="24" t="str">
        <f t="shared" si="4"/>
        <v/>
      </c>
      <c r="AA11" s="24" t="str">
        <f t="shared" si="4"/>
        <v/>
      </c>
      <c r="AB11" s="24" t="str">
        <f t="shared" si="4"/>
        <v/>
      </c>
      <c r="AC11" s="24" t="str">
        <f t="shared" si="4"/>
        <v/>
      </c>
      <c r="AD11" s="24" t="str">
        <f t="shared" si="4"/>
        <v/>
      </c>
      <c r="AE11" s="24" t="str">
        <f t="shared" si="5"/>
        <v/>
      </c>
      <c r="AF11" s="24" t="str">
        <f t="shared" si="5"/>
        <v/>
      </c>
      <c r="AG11" s="24" t="str">
        <f t="shared" si="5"/>
        <v/>
      </c>
      <c r="AH11" s="24" t="str">
        <f t="shared" si="5"/>
        <v/>
      </c>
      <c r="AI11" s="24" t="str">
        <f t="shared" si="5"/>
        <v/>
      </c>
      <c r="AJ11" s="24" t="str">
        <f t="shared" si="5"/>
        <v/>
      </c>
      <c r="AK11" s="24" t="str">
        <f t="shared" si="5"/>
        <v/>
      </c>
      <c r="AL11" s="24" t="str">
        <f t="shared" si="5"/>
        <v/>
      </c>
      <c r="AM11" s="24" t="str">
        <f t="shared" si="5"/>
        <v/>
      </c>
      <c r="AN11" s="24" t="str">
        <f t="shared" si="5"/>
        <v/>
      </c>
      <c r="AO11">
        <f>IF($C11="Phase",IF($AR11=0,"",IF(COUNT(E12:INDEX(E$6:E$156,6+$AR11))=0,"",MIN(E12:INDEX(E$6:E$156,6+$AR11)))),IF($E11="","",$E11))</f>
        <v>46314</v>
      </c>
      <c r="AP11">
        <f>IF($C11="Phase",IF($AO11="","",MAX(G12:INDEX(G$6:G$156,6+$AR11))),IF($G11="","",$G11))</f>
        <v>46323</v>
      </c>
      <c r="AQ11">
        <f>IF($C11="Phase",IF($AR11=0,0,IF(SUM(F12:INDEX(F$6:F$156,6+$AR11))=0,0,SUMPRODUCT(F12:INDEX(F$6:F$156,6+$AR11),H12:INDEX(H$6:H$156,6+$AR11))/SUM(F12:INDEX(F$6:F$156,6+$AR11)))),N($H11))</f>
        <v>1</v>
      </c>
      <c r="AR11">
        <f>IF($C11&lt;&gt;"Phase",0,IFERROR(MATCH("Phase",$C12:$C$156,0)-1,144))</f>
        <v>0</v>
      </c>
      <c r="AS11" t="str">
        <f t="shared" si="6"/>
        <v/>
      </c>
    </row>
    <row r="12" spans="1:45" x14ac:dyDescent="0.3">
      <c r="A12" s="19" t="s">
        <v>76</v>
      </c>
      <c r="B12" s="19" t="s">
        <v>77</v>
      </c>
      <c r="C12" s="19" t="s">
        <v>67</v>
      </c>
      <c r="D12" s="19" t="s">
        <v>75</v>
      </c>
      <c r="E12" s="20">
        <v>46321</v>
      </c>
      <c r="F12" s="19">
        <v>5</v>
      </c>
      <c r="G12" s="21">
        <f>IF($C12="Phase",$AP12,IF(OR($E12="",$F12=""),"",IF(N($F12)&lt;=0,$E12,WORKDAY.INTL($E12,$F12-1,Settings!$B$9,Holidays!$A$4:$A$103))))</f>
        <v>46325</v>
      </c>
      <c r="H12" s="22">
        <v>0.8</v>
      </c>
      <c r="I12" s="23" t="str">
        <f t="shared" ca="1" si="2"/>
        <v>Late</v>
      </c>
      <c r="J12" s="19" t="s">
        <v>73</v>
      </c>
      <c r="K12" s="24" t="str">
        <f t="shared" si="3"/>
        <v/>
      </c>
      <c r="L12" s="24" t="str">
        <f t="shared" si="3"/>
        <v/>
      </c>
      <c r="M12" s="24" t="str">
        <f t="shared" si="3"/>
        <v/>
      </c>
      <c r="N12" s="24" t="str">
        <f t="shared" si="3"/>
        <v/>
      </c>
      <c r="O12" s="24" t="str">
        <f t="shared" si="3"/>
        <v/>
      </c>
      <c r="P12" s="24" t="str">
        <f t="shared" si="3"/>
        <v/>
      </c>
      <c r="Q12" s="24" t="str">
        <f t="shared" si="3"/>
        <v/>
      </c>
      <c r="R12" s="24" t="str">
        <f t="shared" si="3"/>
        <v/>
      </c>
      <c r="S12" s="24" t="str">
        <f t="shared" si="3"/>
        <v/>
      </c>
      <c r="T12" s="24" t="str">
        <f t="shared" si="3"/>
        <v/>
      </c>
      <c r="U12" s="24" t="str">
        <f t="shared" si="4"/>
        <v/>
      </c>
      <c r="V12" s="24" t="str">
        <f t="shared" si="4"/>
        <v/>
      </c>
      <c r="W12" s="24" t="str">
        <f t="shared" si="4"/>
        <v/>
      </c>
      <c r="X12" s="24" t="str">
        <f t="shared" si="4"/>
        <v/>
      </c>
      <c r="Y12" s="24" t="str">
        <f t="shared" si="4"/>
        <v/>
      </c>
      <c r="Z12" s="24" t="str">
        <f t="shared" si="4"/>
        <v/>
      </c>
      <c r="AA12" s="24" t="str">
        <f t="shared" si="4"/>
        <v/>
      </c>
      <c r="AB12" s="24" t="str">
        <f t="shared" si="4"/>
        <v/>
      </c>
      <c r="AC12" s="24" t="str">
        <f t="shared" si="4"/>
        <v/>
      </c>
      <c r="AD12" s="24" t="str">
        <f t="shared" si="4"/>
        <v/>
      </c>
      <c r="AE12" s="24" t="str">
        <f t="shared" si="5"/>
        <v/>
      </c>
      <c r="AF12" s="24" t="str">
        <f t="shared" si="5"/>
        <v/>
      </c>
      <c r="AG12" s="24" t="str">
        <f t="shared" si="5"/>
        <v/>
      </c>
      <c r="AH12" s="24" t="str">
        <f t="shared" si="5"/>
        <v/>
      </c>
      <c r="AI12" s="24" t="str">
        <f t="shared" si="5"/>
        <v/>
      </c>
      <c r="AJ12" s="24" t="str">
        <f t="shared" si="5"/>
        <v/>
      </c>
      <c r="AK12" s="24" t="str">
        <f t="shared" si="5"/>
        <v/>
      </c>
      <c r="AL12" s="24" t="str">
        <f t="shared" si="5"/>
        <v/>
      </c>
      <c r="AM12" s="24" t="str">
        <f t="shared" si="5"/>
        <v/>
      </c>
      <c r="AN12" s="24" t="str">
        <f t="shared" si="5"/>
        <v/>
      </c>
      <c r="AO12">
        <f>IF($C12="Phase",IF($AR12=0,"",IF(COUNT(E13:INDEX(E$6:E$156,7+$AR12))=0,"",MIN(E13:INDEX(E$6:E$156,7+$AR12)))),IF($E12="","",$E12))</f>
        <v>46321</v>
      </c>
      <c r="AP12">
        <f>IF($C12="Phase",IF($AO12="","",MAX(G13:INDEX(G$6:G$156,7+$AR12))),IF($G12="","",$G12))</f>
        <v>46325</v>
      </c>
      <c r="AQ12">
        <f>IF($C12="Phase",IF($AR12=0,0,IF(SUM(F13:INDEX(F$6:F$156,7+$AR12))=0,0,SUMPRODUCT(F13:INDEX(F$6:F$156,7+$AR12),H13:INDEX(H$6:H$156,7+$AR12))/SUM(F13:INDEX(F$6:F$156,7+$AR12)))),N($H12))</f>
        <v>0.8</v>
      </c>
      <c r="AR12">
        <f>IF($C12&lt;&gt;"Phase",0,IFERROR(MATCH("Phase",$C13:$C$156,0)-1,143))</f>
        <v>0</v>
      </c>
      <c r="AS12" t="str">
        <f t="shared" si="6"/>
        <v/>
      </c>
    </row>
    <row r="13" spans="1:45" x14ac:dyDescent="0.3">
      <c r="A13" s="19" t="s">
        <v>78</v>
      </c>
      <c r="B13" s="19" t="s">
        <v>79</v>
      </c>
      <c r="C13" s="19" t="s">
        <v>63</v>
      </c>
      <c r="D13" s="19" t="s">
        <v>64</v>
      </c>
      <c r="E13" s="20">
        <v>46329</v>
      </c>
      <c r="F13" s="19">
        <v>0</v>
      </c>
      <c r="G13" s="21">
        <f>IF($C13="Phase",$AP13,IF(OR($E13="",$F13=""),"",IF(N($F13)&lt;=0,$E13,WORKDAY.INTL($E13,$F13-1,Settings!$B$9,Holidays!$A$4:$A$103))))</f>
        <v>46329</v>
      </c>
      <c r="H13" s="22">
        <v>0</v>
      </c>
      <c r="I13" s="23" t="str">
        <f t="shared" ca="1" si="2"/>
        <v>Not started</v>
      </c>
      <c r="J13" s="19" t="s">
        <v>76</v>
      </c>
      <c r="K13" s="24" t="str">
        <f t="shared" ca="1" si="3"/>
        <v/>
      </c>
      <c r="L13" s="24" t="str">
        <f t="shared" ca="1" si="3"/>
        <v/>
      </c>
      <c r="M13" s="24" t="str">
        <f t="shared" ca="1" si="3"/>
        <v/>
      </c>
      <c r="N13" s="24" t="str">
        <f t="shared" ca="1" si="3"/>
        <v>◆</v>
      </c>
      <c r="O13" s="24" t="str">
        <f t="shared" ca="1" si="3"/>
        <v/>
      </c>
      <c r="P13" s="24" t="str">
        <f t="shared" ca="1" si="3"/>
        <v/>
      </c>
      <c r="Q13" s="24" t="str">
        <f t="shared" ca="1" si="3"/>
        <v/>
      </c>
      <c r="R13" s="24" t="str">
        <f t="shared" ca="1" si="3"/>
        <v/>
      </c>
      <c r="S13" s="24" t="str">
        <f t="shared" ca="1" si="3"/>
        <v/>
      </c>
      <c r="T13" s="24" t="str">
        <f t="shared" ca="1" si="3"/>
        <v/>
      </c>
      <c r="U13" s="24" t="str">
        <f t="shared" ca="1" si="4"/>
        <v/>
      </c>
      <c r="V13" s="24" t="str">
        <f t="shared" ca="1" si="4"/>
        <v/>
      </c>
      <c r="W13" s="24" t="str">
        <f t="shared" ca="1" si="4"/>
        <v/>
      </c>
      <c r="X13" s="24" t="str">
        <f t="shared" ca="1" si="4"/>
        <v/>
      </c>
      <c r="Y13" s="24" t="str">
        <f t="shared" ca="1" si="4"/>
        <v/>
      </c>
      <c r="Z13" s="24" t="str">
        <f t="shared" ca="1" si="4"/>
        <v/>
      </c>
      <c r="AA13" s="24" t="str">
        <f t="shared" ca="1" si="4"/>
        <v/>
      </c>
      <c r="AB13" s="24" t="str">
        <f t="shared" ca="1" si="4"/>
        <v/>
      </c>
      <c r="AC13" s="24" t="str">
        <f t="shared" ca="1" si="4"/>
        <v/>
      </c>
      <c r="AD13" s="24" t="str">
        <f t="shared" ca="1" si="4"/>
        <v/>
      </c>
      <c r="AE13" s="24" t="str">
        <f t="shared" ca="1" si="5"/>
        <v/>
      </c>
      <c r="AF13" s="24" t="str">
        <f t="shared" ca="1" si="5"/>
        <v/>
      </c>
      <c r="AG13" s="24" t="str">
        <f t="shared" ca="1" si="5"/>
        <v/>
      </c>
      <c r="AH13" s="24" t="str">
        <f t="shared" ca="1" si="5"/>
        <v/>
      </c>
      <c r="AI13" s="24" t="str">
        <f t="shared" ca="1" si="5"/>
        <v/>
      </c>
      <c r="AJ13" s="24" t="str">
        <f t="shared" ca="1" si="5"/>
        <v/>
      </c>
      <c r="AK13" s="24" t="str">
        <f t="shared" ca="1" si="5"/>
        <v/>
      </c>
      <c r="AL13" s="24" t="str">
        <f t="shared" ca="1" si="5"/>
        <v/>
      </c>
      <c r="AM13" s="24" t="str">
        <f t="shared" ca="1" si="5"/>
        <v/>
      </c>
      <c r="AN13" s="24" t="str">
        <f t="shared" ca="1" si="5"/>
        <v/>
      </c>
      <c r="AO13">
        <f>IF($C13="Phase",IF($AR13=0,"",IF(COUNT(E14:INDEX(E$6:E$156,8+$AR13))=0,"",MIN(E14:INDEX(E$6:E$156,8+$AR13)))),IF($E13="","",$E13))</f>
        <v>46329</v>
      </c>
      <c r="AP13">
        <f>IF($C13="Phase",IF($AO13="","",MAX(G14:INDEX(G$6:G$156,8+$AR13))),IF($G13="","",$G13))</f>
        <v>46329</v>
      </c>
      <c r="AQ13">
        <f>IF($C13="Phase",IF($AR13=0,0,IF(SUM(F14:INDEX(F$6:F$156,8+$AR13))=0,0,SUMPRODUCT(F14:INDEX(F$6:F$156,8+$AR13),H14:INDEX(H$6:H$156,8+$AR13))/SUM(F14:INDEX(F$6:F$156,8+$AR13)))),N($H13))</f>
        <v>0</v>
      </c>
      <c r="AR13">
        <f>IF($C13&lt;&gt;"Phase",0,IFERROR(MATCH("Phase",$C14:$C$156,0)-1,142))</f>
        <v>0</v>
      </c>
      <c r="AS13">
        <f t="shared" si="6"/>
        <v>46329</v>
      </c>
    </row>
    <row r="14" spans="1:45" x14ac:dyDescent="0.3">
      <c r="A14" s="19" t="s">
        <v>80</v>
      </c>
      <c r="B14" s="19" t="s">
        <v>81</v>
      </c>
      <c r="C14" s="19" t="s">
        <v>60</v>
      </c>
      <c r="D14" s="19"/>
      <c r="E14" s="20"/>
      <c r="F14" s="19"/>
      <c r="G14" s="21">
        <f>IF($C14="Phase",$AP14,IF(OR($E14="",$F14=""),"",IF(N($F14)&lt;=0,$E14,WORKDAY.INTL($E14,$F14-1,Settings!$B$9,Holidays!$A$4:$A$103))))</f>
        <v>46346</v>
      </c>
      <c r="H14" s="22"/>
      <c r="I14" s="23" t="str">
        <f t="shared" ca="1" si="2"/>
        <v>In progress</v>
      </c>
      <c r="J14" s="19"/>
      <c r="K14" s="24" t="str">
        <f t="shared" si="3"/>
        <v/>
      </c>
      <c r="L14" s="24" t="str">
        <f t="shared" si="3"/>
        <v/>
      </c>
      <c r="M14" s="24" t="str">
        <f t="shared" si="3"/>
        <v/>
      </c>
      <c r="N14" s="24" t="str">
        <f t="shared" si="3"/>
        <v/>
      </c>
      <c r="O14" s="24" t="str">
        <f t="shared" si="3"/>
        <v/>
      </c>
      <c r="P14" s="24" t="str">
        <f t="shared" si="3"/>
        <v/>
      </c>
      <c r="Q14" s="24" t="str">
        <f t="shared" si="3"/>
        <v/>
      </c>
      <c r="R14" s="24" t="str">
        <f t="shared" si="3"/>
        <v/>
      </c>
      <c r="S14" s="24" t="str">
        <f t="shared" si="3"/>
        <v/>
      </c>
      <c r="T14" s="24" t="str">
        <f t="shared" si="3"/>
        <v/>
      </c>
      <c r="U14" s="24" t="str">
        <f t="shared" si="4"/>
        <v/>
      </c>
      <c r="V14" s="24" t="str">
        <f t="shared" si="4"/>
        <v/>
      </c>
      <c r="W14" s="24" t="str">
        <f t="shared" si="4"/>
        <v/>
      </c>
      <c r="X14" s="24" t="str">
        <f t="shared" si="4"/>
        <v/>
      </c>
      <c r="Y14" s="24" t="str">
        <f t="shared" si="4"/>
        <v/>
      </c>
      <c r="Z14" s="24" t="str">
        <f t="shared" si="4"/>
        <v/>
      </c>
      <c r="AA14" s="24" t="str">
        <f t="shared" si="4"/>
        <v/>
      </c>
      <c r="AB14" s="24" t="str">
        <f t="shared" si="4"/>
        <v/>
      </c>
      <c r="AC14" s="24" t="str">
        <f t="shared" si="4"/>
        <v/>
      </c>
      <c r="AD14" s="24" t="str">
        <f t="shared" si="4"/>
        <v/>
      </c>
      <c r="AE14" s="24" t="str">
        <f t="shared" si="5"/>
        <v/>
      </c>
      <c r="AF14" s="24" t="str">
        <f t="shared" si="5"/>
        <v/>
      </c>
      <c r="AG14" s="24" t="str">
        <f t="shared" si="5"/>
        <v/>
      </c>
      <c r="AH14" s="24" t="str">
        <f t="shared" si="5"/>
        <v/>
      </c>
      <c r="AI14" s="24" t="str">
        <f t="shared" si="5"/>
        <v/>
      </c>
      <c r="AJ14" s="24" t="str">
        <f t="shared" si="5"/>
        <v/>
      </c>
      <c r="AK14" s="24" t="str">
        <f t="shared" si="5"/>
        <v/>
      </c>
      <c r="AL14" s="24" t="str">
        <f t="shared" si="5"/>
        <v/>
      </c>
      <c r="AM14" s="24" t="str">
        <f t="shared" si="5"/>
        <v/>
      </c>
      <c r="AN14" s="24" t="str">
        <f t="shared" si="5"/>
        <v/>
      </c>
      <c r="AO14">
        <f>IF($C14="Phase",IF($AR14=0,"",IF(COUNT(E15:INDEX(E$6:E$156,9+$AR14))=0,"",MIN(E15:INDEX(E$6:E$156,9+$AR14)))),IF($E14="","",$E14))</f>
        <v>46317</v>
      </c>
      <c r="AP14">
        <f>IF($C14="Phase",IF($AO14="","",MAX(G15:INDEX(G$6:G$156,9+$AR14))),IF($G14="","",$G14))</f>
        <v>46346</v>
      </c>
      <c r="AQ14">
        <f>IF($C14="Phase",IF($AR14=0,0,IF(SUM(F15:INDEX(F$6:F$156,9+$AR14))=0,0,SUMPRODUCT(F15:INDEX(F$6:F$156,9+$AR14),H15:INDEX(H$6:H$156,9+$AR14))/SUM(F15:INDEX(F$6:F$156,9+$AR14)))),N($H14))</f>
        <v>0.26896551724137935</v>
      </c>
      <c r="AR14">
        <f>IF($C14&lt;&gt;"Phase",0,IFERROR(MATCH("Phase",$C15:$C$156,0)-1,141))</f>
        <v>4</v>
      </c>
      <c r="AS14" t="str">
        <f t="shared" si="6"/>
        <v/>
      </c>
    </row>
    <row r="15" spans="1:45" x14ac:dyDescent="0.3">
      <c r="A15" s="19" t="s">
        <v>82</v>
      </c>
      <c r="B15" s="19" t="s">
        <v>83</v>
      </c>
      <c r="C15" s="19" t="s">
        <v>67</v>
      </c>
      <c r="D15" s="19" t="s">
        <v>84</v>
      </c>
      <c r="E15" s="20">
        <v>46317</v>
      </c>
      <c r="F15" s="19">
        <v>3</v>
      </c>
      <c r="G15" s="21">
        <f>IF($C15="Phase",$AP15,IF(OR($E15="",$F15=""),"",IF(N($F15)&lt;=0,$E15,WORKDAY.INTL($E15,$F15-1,Settings!$B$9,Holidays!$A$4:$A$103))))</f>
        <v>46321</v>
      </c>
      <c r="H15" s="22">
        <v>1</v>
      </c>
      <c r="I15" s="23" t="str">
        <f t="shared" ca="1" si="2"/>
        <v>Done</v>
      </c>
      <c r="J15" s="19"/>
      <c r="K15" s="24" t="str">
        <f t="shared" si="3"/>
        <v/>
      </c>
      <c r="L15" s="24" t="str">
        <f t="shared" si="3"/>
        <v/>
      </c>
      <c r="M15" s="24" t="str">
        <f t="shared" si="3"/>
        <v/>
      </c>
      <c r="N15" s="24" t="str">
        <f t="shared" si="3"/>
        <v/>
      </c>
      <c r="O15" s="24" t="str">
        <f t="shared" si="3"/>
        <v/>
      </c>
      <c r="P15" s="24" t="str">
        <f t="shared" si="3"/>
        <v/>
      </c>
      <c r="Q15" s="24" t="str">
        <f t="shared" si="3"/>
        <v/>
      </c>
      <c r="R15" s="24" t="str">
        <f t="shared" si="3"/>
        <v/>
      </c>
      <c r="S15" s="24" t="str">
        <f t="shared" si="3"/>
        <v/>
      </c>
      <c r="T15" s="24" t="str">
        <f t="shared" si="3"/>
        <v/>
      </c>
      <c r="U15" s="24" t="str">
        <f t="shared" si="4"/>
        <v/>
      </c>
      <c r="V15" s="24" t="str">
        <f t="shared" si="4"/>
        <v/>
      </c>
      <c r="W15" s="24" t="str">
        <f t="shared" si="4"/>
        <v/>
      </c>
      <c r="X15" s="24" t="str">
        <f t="shared" si="4"/>
        <v/>
      </c>
      <c r="Y15" s="24" t="str">
        <f t="shared" si="4"/>
        <v/>
      </c>
      <c r="Z15" s="24" t="str">
        <f t="shared" si="4"/>
        <v/>
      </c>
      <c r="AA15" s="24" t="str">
        <f t="shared" si="4"/>
        <v/>
      </c>
      <c r="AB15" s="24" t="str">
        <f t="shared" si="4"/>
        <v/>
      </c>
      <c r="AC15" s="24" t="str">
        <f t="shared" si="4"/>
        <v/>
      </c>
      <c r="AD15" s="24" t="str">
        <f t="shared" si="4"/>
        <v/>
      </c>
      <c r="AE15" s="24" t="str">
        <f t="shared" si="5"/>
        <v/>
      </c>
      <c r="AF15" s="24" t="str">
        <f t="shared" si="5"/>
        <v/>
      </c>
      <c r="AG15" s="24" t="str">
        <f t="shared" si="5"/>
        <v/>
      </c>
      <c r="AH15" s="24" t="str">
        <f t="shared" si="5"/>
        <v/>
      </c>
      <c r="AI15" s="24" t="str">
        <f t="shared" si="5"/>
        <v/>
      </c>
      <c r="AJ15" s="24" t="str">
        <f t="shared" si="5"/>
        <v/>
      </c>
      <c r="AK15" s="24" t="str">
        <f t="shared" si="5"/>
        <v/>
      </c>
      <c r="AL15" s="24" t="str">
        <f t="shared" si="5"/>
        <v/>
      </c>
      <c r="AM15" s="24" t="str">
        <f t="shared" si="5"/>
        <v/>
      </c>
      <c r="AN15" s="24" t="str">
        <f t="shared" si="5"/>
        <v/>
      </c>
      <c r="AO15">
        <f>IF($C15="Phase",IF($AR15=0,"",IF(COUNT(E16:INDEX(E$6:E$156,10+$AR15))=0,"",MIN(E16:INDEX(E$6:E$156,10+$AR15)))),IF($E15="","",$E15))</f>
        <v>46317</v>
      </c>
      <c r="AP15">
        <f>IF($C15="Phase",IF($AO15="","",MAX(G16:INDEX(G$6:G$156,10+$AR15))),IF($G15="","",$G15))</f>
        <v>46321</v>
      </c>
      <c r="AQ15">
        <f>IF($C15="Phase",IF($AR15=0,0,IF(SUM(F16:INDEX(F$6:F$156,10+$AR15))=0,0,SUMPRODUCT(F16:INDEX(F$6:F$156,10+$AR15),H16:INDEX(H$6:H$156,10+$AR15))/SUM(F16:INDEX(F$6:F$156,10+$AR15)))),N($H15))</f>
        <v>1</v>
      </c>
      <c r="AR15">
        <f>IF($C15&lt;&gt;"Phase",0,IFERROR(MATCH("Phase",$C16:$C$156,0)-1,140))</f>
        <v>0</v>
      </c>
      <c r="AS15" t="str">
        <f t="shared" si="6"/>
        <v/>
      </c>
    </row>
    <row r="16" spans="1:45" x14ac:dyDescent="0.3">
      <c r="A16" s="19" t="s">
        <v>85</v>
      </c>
      <c r="B16" s="19" t="s">
        <v>86</v>
      </c>
      <c r="C16" s="19" t="s">
        <v>67</v>
      </c>
      <c r="D16" s="19" t="s">
        <v>84</v>
      </c>
      <c r="E16" s="20">
        <v>46329</v>
      </c>
      <c r="F16" s="19">
        <v>10</v>
      </c>
      <c r="G16" s="21">
        <f>IF($C16="Phase",$AP16,IF(OR($E16="",$F16=""),"",IF(N($F16)&lt;=0,$E16,WORKDAY.INTL($E16,$F16-1,Settings!$B$9,Holidays!$A$4:$A$103))))</f>
        <v>46342</v>
      </c>
      <c r="H16" s="22">
        <v>0</v>
      </c>
      <c r="I16" s="23" t="str">
        <f t="shared" ca="1" si="2"/>
        <v>Not started</v>
      </c>
      <c r="J16" s="19" t="s">
        <v>78</v>
      </c>
      <c r="K16" s="24" t="str">
        <f t="shared" ref="K16:T25" si="7">IF(AND($C16="Milestone",$AP16&lt;&gt;""),IF(AND($AP16&gt;=K$5,$AP16&lt;K$5+$AO$3),"◆",""),"")</f>
        <v/>
      </c>
      <c r="L16" s="24" t="str">
        <f t="shared" si="7"/>
        <v/>
      </c>
      <c r="M16" s="24" t="str">
        <f t="shared" si="7"/>
        <v/>
      </c>
      <c r="N16" s="24" t="str">
        <f t="shared" si="7"/>
        <v/>
      </c>
      <c r="O16" s="24" t="str">
        <f t="shared" si="7"/>
        <v/>
      </c>
      <c r="P16" s="24" t="str">
        <f t="shared" si="7"/>
        <v/>
      </c>
      <c r="Q16" s="24" t="str">
        <f t="shared" si="7"/>
        <v/>
      </c>
      <c r="R16" s="24" t="str">
        <f t="shared" si="7"/>
        <v/>
      </c>
      <c r="S16" s="24" t="str">
        <f t="shared" si="7"/>
        <v/>
      </c>
      <c r="T16" s="24" t="str">
        <f t="shared" si="7"/>
        <v/>
      </c>
      <c r="U16" s="24" t="str">
        <f t="shared" ref="U16:AD25" si="8">IF(AND($C16="Milestone",$AP16&lt;&gt;""),IF(AND($AP16&gt;=U$5,$AP16&lt;U$5+$AO$3),"◆",""),"")</f>
        <v/>
      </c>
      <c r="V16" s="24" t="str">
        <f t="shared" si="8"/>
        <v/>
      </c>
      <c r="W16" s="24" t="str">
        <f t="shared" si="8"/>
        <v/>
      </c>
      <c r="X16" s="24" t="str">
        <f t="shared" si="8"/>
        <v/>
      </c>
      <c r="Y16" s="24" t="str">
        <f t="shared" si="8"/>
        <v/>
      </c>
      <c r="Z16" s="24" t="str">
        <f t="shared" si="8"/>
        <v/>
      </c>
      <c r="AA16" s="24" t="str">
        <f t="shared" si="8"/>
        <v/>
      </c>
      <c r="AB16" s="24" t="str">
        <f t="shared" si="8"/>
        <v/>
      </c>
      <c r="AC16" s="24" t="str">
        <f t="shared" si="8"/>
        <v/>
      </c>
      <c r="AD16" s="24" t="str">
        <f t="shared" si="8"/>
        <v/>
      </c>
      <c r="AE16" s="24" t="str">
        <f t="shared" ref="AE16:AN25" si="9">IF(AND($C16="Milestone",$AP16&lt;&gt;""),IF(AND($AP16&gt;=AE$5,$AP16&lt;AE$5+$AO$3),"◆",""),"")</f>
        <v/>
      </c>
      <c r="AF16" s="24" t="str">
        <f t="shared" si="9"/>
        <v/>
      </c>
      <c r="AG16" s="24" t="str">
        <f t="shared" si="9"/>
        <v/>
      </c>
      <c r="AH16" s="24" t="str">
        <f t="shared" si="9"/>
        <v/>
      </c>
      <c r="AI16" s="24" t="str">
        <f t="shared" si="9"/>
        <v/>
      </c>
      <c r="AJ16" s="24" t="str">
        <f t="shared" si="9"/>
        <v/>
      </c>
      <c r="AK16" s="24" t="str">
        <f t="shared" si="9"/>
        <v/>
      </c>
      <c r="AL16" s="24" t="str">
        <f t="shared" si="9"/>
        <v/>
      </c>
      <c r="AM16" s="24" t="str">
        <f t="shared" si="9"/>
        <v/>
      </c>
      <c r="AN16" s="24" t="str">
        <f t="shared" si="9"/>
        <v/>
      </c>
      <c r="AO16">
        <f>IF($C16="Phase",IF($AR16=0,"",IF(COUNT(E17:INDEX(E$6:E$156,11+$AR16))=0,"",MIN(E17:INDEX(E$6:E$156,11+$AR16)))),IF($E16="","",$E16))</f>
        <v>46329</v>
      </c>
      <c r="AP16">
        <f>IF($C16="Phase",IF($AO16="","",MAX(G17:INDEX(G$6:G$156,11+$AR16))),IF($G16="","",$G16))</f>
        <v>46342</v>
      </c>
      <c r="AQ16">
        <f>IF($C16="Phase",IF($AR16=0,0,IF(SUM(F17:INDEX(F$6:F$156,11+$AR16))=0,0,SUMPRODUCT(F17:INDEX(F$6:F$156,11+$AR16),H17:INDEX(H$6:H$156,11+$AR16))/SUM(F17:INDEX(F$6:F$156,11+$AR16)))),N($H16))</f>
        <v>0</v>
      </c>
      <c r="AR16">
        <f>IF($C16&lt;&gt;"Phase",0,IFERROR(MATCH("Phase",$C17:$C$156,0)-1,139))</f>
        <v>0</v>
      </c>
      <c r="AS16" t="str">
        <f t="shared" si="6"/>
        <v/>
      </c>
    </row>
    <row r="17" spans="1:45" x14ac:dyDescent="0.3">
      <c r="A17" s="19" t="s">
        <v>87</v>
      </c>
      <c r="B17" s="19" t="s">
        <v>88</v>
      </c>
      <c r="C17" s="19" t="s">
        <v>67</v>
      </c>
      <c r="D17" s="19" t="s">
        <v>70</v>
      </c>
      <c r="E17" s="20">
        <v>46323</v>
      </c>
      <c r="F17" s="19">
        <v>12</v>
      </c>
      <c r="G17" s="21">
        <f>IF($C17="Phase",$AP17,IF(OR($E17="",$F17=""),"",IF(N($F17)&lt;=0,$E17,WORKDAY.INTL($E17,$F17-1,Settings!$B$9,Holidays!$A$4:$A$103))))</f>
        <v>46338</v>
      </c>
      <c r="H17" s="22">
        <v>0.4</v>
      </c>
      <c r="I17" s="23" t="str">
        <f t="shared" ca="1" si="2"/>
        <v>In progress</v>
      </c>
      <c r="J17" s="19" t="s">
        <v>68</v>
      </c>
      <c r="K17" s="24" t="str">
        <f t="shared" si="7"/>
        <v/>
      </c>
      <c r="L17" s="24" t="str">
        <f t="shared" si="7"/>
        <v/>
      </c>
      <c r="M17" s="24" t="str">
        <f t="shared" si="7"/>
        <v/>
      </c>
      <c r="N17" s="24" t="str">
        <f t="shared" si="7"/>
        <v/>
      </c>
      <c r="O17" s="24" t="str">
        <f t="shared" si="7"/>
        <v/>
      </c>
      <c r="P17" s="24" t="str">
        <f t="shared" si="7"/>
        <v/>
      </c>
      <c r="Q17" s="24" t="str">
        <f t="shared" si="7"/>
        <v/>
      </c>
      <c r="R17" s="24" t="str">
        <f t="shared" si="7"/>
        <v/>
      </c>
      <c r="S17" s="24" t="str">
        <f t="shared" si="7"/>
        <v/>
      </c>
      <c r="T17" s="24" t="str">
        <f t="shared" si="7"/>
        <v/>
      </c>
      <c r="U17" s="24" t="str">
        <f t="shared" si="8"/>
        <v/>
      </c>
      <c r="V17" s="24" t="str">
        <f t="shared" si="8"/>
        <v/>
      </c>
      <c r="W17" s="24" t="str">
        <f t="shared" si="8"/>
        <v/>
      </c>
      <c r="X17" s="24" t="str">
        <f t="shared" si="8"/>
        <v/>
      </c>
      <c r="Y17" s="24" t="str">
        <f t="shared" si="8"/>
        <v/>
      </c>
      <c r="Z17" s="24" t="str">
        <f t="shared" si="8"/>
        <v/>
      </c>
      <c r="AA17" s="24" t="str">
        <f t="shared" si="8"/>
        <v/>
      </c>
      <c r="AB17" s="24" t="str">
        <f t="shared" si="8"/>
        <v/>
      </c>
      <c r="AC17" s="24" t="str">
        <f t="shared" si="8"/>
        <v/>
      </c>
      <c r="AD17" s="24" t="str">
        <f t="shared" si="8"/>
        <v/>
      </c>
      <c r="AE17" s="24" t="str">
        <f t="shared" si="9"/>
        <v/>
      </c>
      <c r="AF17" s="24" t="str">
        <f t="shared" si="9"/>
        <v/>
      </c>
      <c r="AG17" s="24" t="str">
        <f t="shared" si="9"/>
        <v/>
      </c>
      <c r="AH17" s="24" t="str">
        <f t="shared" si="9"/>
        <v/>
      </c>
      <c r="AI17" s="24" t="str">
        <f t="shared" si="9"/>
        <v/>
      </c>
      <c r="AJ17" s="24" t="str">
        <f t="shared" si="9"/>
        <v/>
      </c>
      <c r="AK17" s="24" t="str">
        <f t="shared" si="9"/>
        <v/>
      </c>
      <c r="AL17" s="24" t="str">
        <f t="shared" si="9"/>
        <v/>
      </c>
      <c r="AM17" s="24" t="str">
        <f t="shared" si="9"/>
        <v/>
      </c>
      <c r="AN17" s="24" t="str">
        <f t="shared" si="9"/>
        <v/>
      </c>
      <c r="AO17">
        <f>IF($C17="Phase",IF($AR17=0,"",IF(COUNT(E18:INDEX(E$6:E$156,12+$AR17))=0,"",MIN(E18:INDEX(E$6:E$156,12+$AR17)))),IF($E17="","",$E17))</f>
        <v>46323</v>
      </c>
      <c r="AP17">
        <f>IF($C17="Phase",IF($AO17="","",MAX(G18:INDEX(G$6:G$156,12+$AR17))),IF($G17="","",$G17))</f>
        <v>46338</v>
      </c>
      <c r="AQ17">
        <f>IF($C17="Phase",IF($AR17=0,0,IF(SUM(F18:INDEX(F$6:F$156,12+$AR17))=0,0,SUMPRODUCT(F18:INDEX(F$6:F$156,12+$AR17),H18:INDEX(H$6:H$156,12+$AR17))/SUM(F18:INDEX(F$6:F$156,12+$AR17)))),N($H17))</f>
        <v>0.4</v>
      </c>
      <c r="AR17">
        <f>IF($C17&lt;&gt;"Phase",0,IFERROR(MATCH("Phase",$C18:$C$156,0)-1,138))</f>
        <v>0</v>
      </c>
      <c r="AS17" t="str">
        <f t="shared" si="6"/>
        <v/>
      </c>
    </row>
    <row r="18" spans="1:45" x14ac:dyDescent="0.3">
      <c r="A18" s="19" t="s">
        <v>89</v>
      </c>
      <c r="B18" s="19" t="s">
        <v>90</v>
      </c>
      <c r="C18" s="19" t="s">
        <v>67</v>
      </c>
      <c r="D18" s="19" t="s">
        <v>84</v>
      </c>
      <c r="E18" s="20">
        <v>46343</v>
      </c>
      <c r="F18" s="19">
        <v>4</v>
      </c>
      <c r="G18" s="21">
        <f>IF($C18="Phase",$AP18,IF(OR($E18="",$F18=""),"",IF(N($F18)&lt;=0,$E18,WORKDAY.INTL($E18,$F18-1,Settings!$B$9,Holidays!$A$4:$A$103))))</f>
        <v>46346</v>
      </c>
      <c r="H18" s="22">
        <v>0</v>
      </c>
      <c r="I18" s="23" t="str">
        <f t="shared" ca="1" si="2"/>
        <v>Not started</v>
      </c>
      <c r="J18" s="19" t="s">
        <v>85</v>
      </c>
      <c r="K18" s="24" t="str">
        <f t="shared" si="7"/>
        <v/>
      </c>
      <c r="L18" s="24" t="str">
        <f t="shared" si="7"/>
        <v/>
      </c>
      <c r="M18" s="24" t="str">
        <f t="shared" si="7"/>
        <v/>
      </c>
      <c r="N18" s="24" t="str">
        <f t="shared" si="7"/>
        <v/>
      </c>
      <c r="O18" s="24" t="str">
        <f t="shared" si="7"/>
        <v/>
      </c>
      <c r="P18" s="24" t="str">
        <f t="shared" si="7"/>
        <v/>
      </c>
      <c r="Q18" s="24" t="str">
        <f t="shared" si="7"/>
        <v/>
      </c>
      <c r="R18" s="24" t="str">
        <f t="shared" si="7"/>
        <v/>
      </c>
      <c r="S18" s="24" t="str">
        <f t="shared" si="7"/>
        <v/>
      </c>
      <c r="T18" s="24" t="str">
        <f t="shared" si="7"/>
        <v/>
      </c>
      <c r="U18" s="24" t="str">
        <f t="shared" si="8"/>
        <v/>
      </c>
      <c r="V18" s="24" t="str">
        <f t="shared" si="8"/>
        <v/>
      </c>
      <c r="W18" s="24" t="str">
        <f t="shared" si="8"/>
        <v/>
      </c>
      <c r="X18" s="24" t="str">
        <f t="shared" si="8"/>
        <v/>
      </c>
      <c r="Y18" s="24" t="str">
        <f t="shared" si="8"/>
        <v/>
      </c>
      <c r="Z18" s="24" t="str">
        <f t="shared" si="8"/>
        <v/>
      </c>
      <c r="AA18" s="24" t="str">
        <f t="shared" si="8"/>
        <v/>
      </c>
      <c r="AB18" s="24" t="str">
        <f t="shared" si="8"/>
        <v/>
      </c>
      <c r="AC18" s="24" t="str">
        <f t="shared" si="8"/>
        <v/>
      </c>
      <c r="AD18" s="24" t="str">
        <f t="shared" si="8"/>
        <v/>
      </c>
      <c r="AE18" s="24" t="str">
        <f t="shared" si="9"/>
        <v/>
      </c>
      <c r="AF18" s="24" t="str">
        <f t="shared" si="9"/>
        <v/>
      </c>
      <c r="AG18" s="24" t="str">
        <f t="shared" si="9"/>
        <v/>
      </c>
      <c r="AH18" s="24" t="str">
        <f t="shared" si="9"/>
        <v/>
      </c>
      <c r="AI18" s="24" t="str">
        <f t="shared" si="9"/>
        <v/>
      </c>
      <c r="AJ18" s="24" t="str">
        <f t="shared" si="9"/>
        <v/>
      </c>
      <c r="AK18" s="24" t="str">
        <f t="shared" si="9"/>
        <v/>
      </c>
      <c r="AL18" s="24" t="str">
        <f t="shared" si="9"/>
        <v/>
      </c>
      <c r="AM18" s="24" t="str">
        <f t="shared" si="9"/>
        <v/>
      </c>
      <c r="AN18" s="24" t="str">
        <f t="shared" si="9"/>
        <v/>
      </c>
      <c r="AO18">
        <f>IF($C18="Phase",IF($AR18=0,"",IF(COUNT(E19:INDEX(E$6:E$156,13+$AR18))=0,"",MIN(E19:INDEX(E$6:E$156,13+$AR18)))),IF($E18="","",$E18))</f>
        <v>46343</v>
      </c>
      <c r="AP18">
        <f>IF($C18="Phase",IF($AO18="","",MAX(G19:INDEX(G$6:G$156,13+$AR18))),IF($G18="","",$G18))</f>
        <v>46346</v>
      </c>
      <c r="AQ18">
        <f>IF($C18="Phase",IF($AR18=0,0,IF(SUM(F19:INDEX(F$6:F$156,13+$AR18))=0,0,SUMPRODUCT(F19:INDEX(F$6:F$156,13+$AR18),H19:INDEX(H$6:H$156,13+$AR18))/SUM(F19:INDEX(F$6:F$156,13+$AR18)))),N($H18))</f>
        <v>0</v>
      </c>
      <c r="AR18">
        <f>IF($C18&lt;&gt;"Phase",0,IFERROR(MATCH("Phase",$C19:$C$156,0)-1,137))</f>
        <v>0</v>
      </c>
      <c r="AS18" t="str">
        <f t="shared" si="6"/>
        <v/>
      </c>
    </row>
    <row r="19" spans="1:45" x14ac:dyDescent="0.3">
      <c r="A19" s="19" t="s">
        <v>91</v>
      </c>
      <c r="B19" s="19" t="s">
        <v>92</v>
      </c>
      <c r="C19" s="19" t="s">
        <v>60</v>
      </c>
      <c r="D19" s="19"/>
      <c r="E19" s="20"/>
      <c r="F19" s="19"/>
      <c r="G19" s="21">
        <f>IF($C19="Phase",$AP19,IF(OR($E19="",$F19=""),"",IF(N($F19)&lt;=0,$E19,WORKDAY.INTL($E19,$F19-1,Settings!$B$9,Holidays!$A$4:$A$103))))</f>
        <v>46366</v>
      </c>
      <c r="H19" s="22"/>
      <c r="I19" s="23" t="str">
        <f t="shared" ca="1" si="2"/>
        <v>Not started</v>
      </c>
      <c r="J19" s="19"/>
      <c r="K19" s="24" t="str">
        <f t="shared" si="7"/>
        <v/>
      </c>
      <c r="L19" s="24" t="str">
        <f t="shared" si="7"/>
        <v/>
      </c>
      <c r="M19" s="24" t="str">
        <f t="shared" si="7"/>
        <v/>
      </c>
      <c r="N19" s="24" t="str">
        <f t="shared" si="7"/>
        <v/>
      </c>
      <c r="O19" s="24" t="str">
        <f t="shared" si="7"/>
        <v/>
      </c>
      <c r="P19" s="24" t="str">
        <f t="shared" si="7"/>
        <v/>
      </c>
      <c r="Q19" s="24" t="str">
        <f t="shared" si="7"/>
        <v/>
      </c>
      <c r="R19" s="24" t="str">
        <f t="shared" si="7"/>
        <v/>
      </c>
      <c r="S19" s="24" t="str">
        <f t="shared" si="7"/>
        <v/>
      </c>
      <c r="T19" s="24" t="str">
        <f t="shared" si="7"/>
        <v/>
      </c>
      <c r="U19" s="24" t="str">
        <f t="shared" si="8"/>
        <v/>
      </c>
      <c r="V19" s="24" t="str">
        <f t="shared" si="8"/>
        <v/>
      </c>
      <c r="W19" s="24" t="str">
        <f t="shared" si="8"/>
        <v/>
      </c>
      <c r="X19" s="24" t="str">
        <f t="shared" si="8"/>
        <v/>
      </c>
      <c r="Y19" s="24" t="str">
        <f t="shared" si="8"/>
        <v/>
      </c>
      <c r="Z19" s="24" t="str">
        <f t="shared" si="8"/>
        <v/>
      </c>
      <c r="AA19" s="24" t="str">
        <f t="shared" si="8"/>
        <v/>
      </c>
      <c r="AB19" s="24" t="str">
        <f t="shared" si="8"/>
        <v/>
      </c>
      <c r="AC19" s="24" t="str">
        <f t="shared" si="8"/>
        <v/>
      </c>
      <c r="AD19" s="24" t="str">
        <f t="shared" si="8"/>
        <v/>
      </c>
      <c r="AE19" s="24" t="str">
        <f t="shared" si="9"/>
        <v/>
      </c>
      <c r="AF19" s="24" t="str">
        <f t="shared" si="9"/>
        <v/>
      </c>
      <c r="AG19" s="24" t="str">
        <f t="shared" si="9"/>
        <v/>
      </c>
      <c r="AH19" s="24" t="str">
        <f t="shared" si="9"/>
        <v/>
      </c>
      <c r="AI19" s="24" t="str">
        <f t="shared" si="9"/>
        <v/>
      </c>
      <c r="AJ19" s="24" t="str">
        <f t="shared" si="9"/>
        <v/>
      </c>
      <c r="AK19" s="24" t="str">
        <f t="shared" si="9"/>
        <v/>
      </c>
      <c r="AL19" s="24" t="str">
        <f t="shared" si="9"/>
        <v/>
      </c>
      <c r="AM19" s="24" t="str">
        <f t="shared" si="9"/>
        <v/>
      </c>
      <c r="AN19" s="24" t="str">
        <f t="shared" si="9"/>
        <v/>
      </c>
      <c r="AO19">
        <f>IF($C19="Phase",IF($AR19=0,"",IF(COUNT(E20:INDEX(E$6:E$156,14+$AR19))=0,"",MIN(E20:INDEX(E$6:E$156,14+$AR19)))),IF($E19="","",$E19))</f>
        <v>46349</v>
      </c>
      <c r="AP19">
        <f>IF($C19="Phase",IF($AO19="","",MAX(G20:INDEX(G$6:G$156,14+$AR19))),IF($G19="","",$G19))</f>
        <v>46366</v>
      </c>
      <c r="AQ19">
        <f>IF($C19="Phase",IF($AR19=0,0,IF(SUM(F20:INDEX(F$6:F$156,14+$AR19))=0,0,SUMPRODUCT(F20:INDEX(F$6:F$156,14+$AR19),H20:INDEX(H$6:H$156,14+$AR19))/SUM(F20:INDEX(F$6:F$156,14+$AR19)))),N($H19))</f>
        <v>0</v>
      </c>
      <c r="AR19">
        <f>IF($C19&lt;&gt;"Phase",0,IFERROR(MATCH("Phase",$C20:$C$156,0)-1,136))</f>
        <v>136</v>
      </c>
      <c r="AS19" t="str">
        <f t="shared" si="6"/>
        <v/>
      </c>
    </row>
    <row r="20" spans="1:45" x14ac:dyDescent="0.3">
      <c r="A20" s="19" t="s">
        <v>93</v>
      </c>
      <c r="B20" s="19" t="s">
        <v>94</v>
      </c>
      <c r="C20" s="19" t="s">
        <v>67</v>
      </c>
      <c r="D20" s="19" t="s">
        <v>95</v>
      </c>
      <c r="E20" s="20">
        <v>46349</v>
      </c>
      <c r="F20" s="19">
        <v>5</v>
      </c>
      <c r="G20" s="21">
        <f>IF($C20="Phase",$AP20,IF(OR($E20="",$F20=""),"",IF(N($F20)&lt;=0,$E20,WORKDAY.INTL($E20,$F20-1,Settings!$B$9,Holidays!$A$4:$A$103))))</f>
        <v>46353</v>
      </c>
      <c r="H20" s="22">
        <v>0</v>
      </c>
      <c r="I20" s="23" t="str">
        <f t="shared" ca="1" si="2"/>
        <v>Not started</v>
      </c>
      <c r="J20" s="19" t="s">
        <v>89</v>
      </c>
      <c r="K20" s="24" t="str">
        <f t="shared" si="7"/>
        <v/>
      </c>
      <c r="L20" s="24" t="str">
        <f t="shared" si="7"/>
        <v/>
      </c>
      <c r="M20" s="24" t="str">
        <f t="shared" si="7"/>
        <v/>
      </c>
      <c r="N20" s="24" t="str">
        <f t="shared" si="7"/>
        <v/>
      </c>
      <c r="O20" s="24" t="str">
        <f t="shared" si="7"/>
        <v/>
      </c>
      <c r="P20" s="24" t="str">
        <f t="shared" si="7"/>
        <v/>
      </c>
      <c r="Q20" s="24" t="str">
        <f t="shared" si="7"/>
        <v/>
      </c>
      <c r="R20" s="24" t="str">
        <f t="shared" si="7"/>
        <v/>
      </c>
      <c r="S20" s="24" t="str">
        <f t="shared" si="7"/>
        <v/>
      </c>
      <c r="T20" s="24" t="str">
        <f t="shared" si="7"/>
        <v/>
      </c>
      <c r="U20" s="24" t="str">
        <f t="shared" si="8"/>
        <v/>
      </c>
      <c r="V20" s="24" t="str">
        <f t="shared" si="8"/>
        <v/>
      </c>
      <c r="W20" s="24" t="str">
        <f t="shared" si="8"/>
        <v/>
      </c>
      <c r="X20" s="24" t="str">
        <f t="shared" si="8"/>
        <v/>
      </c>
      <c r="Y20" s="24" t="str">
        <f t="shared" si="8"/>
        <v/>
      </c>
      <c r="Z20" s="24" t="str">
        <f t="shared" si="8"/>
        <v/>
      </c>
      <c r="AA20" s="24" t="str">
        <f t="shared" si="8"/>
        <v/>
      </c>
      <c r="AB20" s="24" t="str">
        <f t="shared" si="8"/>
        <v/>
      </c>
      <c r="AC20" s="24" t="str">
        <f t="shared" si="8"/>
        <v/>
      </c>
      <c r="AD20" s="24" t="str">
        <f t="shared" si="8"/>
        <v/>
      </c>
      <c r="AE20" s="24" t="str">
        <f t="shared" si="9"/>
        <v/>
      </c>
      <c r="AF20" s="24" t="str">
        <f t="shared" si="9"/>
        <v/>
      </c>
      <c r="AG20" s="24" t="str">
        <f t="shared" si="9"/>
        <v/>
      </c>
      <c r="AH20" s="24" t="str">
        <f t="shared" si="9"/>
        <v/>
      </c>
      <c r="AI20" s="24" t="str">
        <f t="shared" si="9"/>
        <v/>
      </c>
      <c r="AJ20" s="24" t="str">
        <f t="shared" si="9"/>
        <v/>
      </c>
      <c r="AK20" s="24" t="str">
        <f t="shared" si="9"/>
        <v/>
      </c>
      <c r="AL20" s="24" t="str">
        <f t="shared" si="9"/>
        <v/>
      </c>
      <c r="AM20" s="24" t="str">
        <f t="shared" si="9"/>
        <v/>
      </c>
      <c r="AN20" s="24" t="str">
        <f t="shared" si="9"/>
        <v/>
      </c>
      <c r="AO20">
        <f>IF($C20="Phase",IF($AR20=0,"",IF(COUNT(E21:INDEX(E$6:E$156,15+$AR20))=0,"",MIN(E21:INDEX(E$6:E$156,15+$AR20)))),IF($E20="","",$E20))</f>
        <v>46349</v>
      </c>
      <c r="AP20">
        <f>IF($C20="Phase",IF($AO20="","",MAX(G21:INDEX(G$6:G$156,15+$AR20))),IF($G20="","",$G20))</f>
        <v>46353</v>
      </c>
      <c r="AQ20">
        <f>IF($C20="Phase",IF($AR20=0,0,IF(SUM(F21:INDEX(F$6:F$156,15+$AR20))=0,0,SUMPRODUCT(F21:INDEX(F$6:F$156,15+$AR20),H21:INDEX(H$6:H$156,15+$AR20))/SUM(F21:INDEX(F$6:F$156,15+$AR20)))),N($H20))</f>
        <v>0</v>
      </c>
      <c r="AR20">
        <f>IF($C20&lt;&gt;"Phase",0,IFERROR(MATCH("Phase",$C21:$C$156,0)-1,135))</f>
        <v>0</v>
      </c>
      <c r="AS20" t="str">
        <f t="shared" si="6"/>
        <v/>
      </c>
    </row>
    <row r="21" spans="1:45" x14ac:dyDescent="0.3">
      <c r="A21" s="19" t="s">
        <v>96</v>
      </c>
      <c r="B21" s="19" t="s">
        <v>97</v>
      </c>
      <c r="C21" s="19" t="s">
        <v>67</v>
      </c>
      <c r="D21" s="19" t="s">
        <v>84</v>
      </c>
      <c r="E21" s="20">
        <v>46356</v>
      </c>
      <c r="F21" s="19">
        <v>4</v>
      </c>
      <c r="G21" s="21">
        <f>IF($C21="Phase",$AP21,IF(OR($E21="",$F21=""),"",IF(N($F21)&lt;=0,$E21,WORKDAY.INTL($E21,$F21-1,Settings!$B$9,Holidays!$A$4:$A$103))))</f>
        <v>46359</v>
      </c>
      <c r="H21" s="22">
        <v>0</v>
      </c>
      <c r="I21" s="23" t="str">
        <f t="shared" ca="1" si="2"/>
        <v>Not started</v>
      </c>
      <c r="J21" s="19" t="s">
        <v>93</v>
      </c>
      <c r="K21" s="24" t="str">
        <f t="shared" si="7"/>
        <v/>
      </c>
      <c r="L21" s="24" t="str">
        <f t="shared" si="7"/>
        <v/>
      </c>
      <c r="M21" s="24" t="str">
        <f t="shared" si="7"/>
        <v/>
      </c>
      <c r="N21" s="24" t="str">
        <f t="shared" si="7"/>
        <v/>
      </c>
      <c r="O21" s="24" t="str">
        <f t="shared" si="7"/>
        <v/>
      </c>
      <c r="P21" s="24" t="str">
        <f t="shared" si="7"/>
        <v/>
      </c>
      <c r="Q21" s="24" t="str">
        <f t="shared" si="7"/>
        <v/>
      </c>
      <c r="R21" s="24" t="str">
        <f t="shared" si="7"/>
        <v/>
      </c>
      <c r="S21" s="24" t="str">
        <f t="shared" si="7"/>
        <v/>
      </c>
      <c r="T21" s="24" t="str">
        <f t="shared" si="7"/>
        <v/>
      </c>
      <c r="U21" s="24" t="str">
        <f t="shared" si="8"/>
        <v/>
      </c>
      <c r="V21" s="24" t="str">
        <f t="shared" si="8"/>
        <v/>
      </c>
      <c r="W21" s="24" t="str">
        <f t="shared" si="8"/>
        <v/>
      </c>
      <c r="X21" s="24" t="str">
        <f t="shared" si="8"/>
        <v/>
      </c>
      <c r="Y21" s="24" t="str">
        <f t="shared" si="8"/>
        <v/>
      </c>
      <c r="Z21" s="24" t="str">
        <f t="shared" si="8"/>
        <v/>
      </c>
      <c r="AA21" s="24" t="str">
        <f t="shared" si="8"/>
        <v/>
      </c>
      <c r="AB21" s="24" t="str">
        <f t="shared" si="8"/>
        <v/>
      </c>
      <c r="AC21" s="24" t="str">
        <f t="shared" si="8"/>
        <v/>
      </c>
      <c r="AD21" s="24" t="str">
        <f t="shared" si="8"/>
        <v/>
      </c>
      <c r="AE21" s="24" t="str">
        <f t="shared" si="9"/>
        <v/>
      </c>
      <c r="AF21" s="24" t="str">
        <f t="shared" si="9"/>
        <v/>
      </c>
      <c r="AG21" s="24" t="str">
        <f t="shared" si="9"/>
        <v/>
      </c>
      <c r="AH21" s="24" t="str">
        <f t="shared" si="9"/>
        <v/>
      </c>
      <c r="AI21" s="24" t="str">
        <f t="shared" si="9"/>
        <v/>
      </c>
      <c r="AJ21" s="24" t="str">
        <f t="shared" si="9"/>
        <v/>
      </c>
      <c r="AK21" s="24" t="str">
        <f t="shared" si="9"/>
        <v/>
      </c>
      <c r="AL21" s="24" t="str">
        <f t="shared" si="9"/>
        <v/>
      </c>
      <c r="AM21" s="24" t="str">
        <f t="shared" si="9"/>
        <v/>
      </c>
      <c r="AN21" s="24" t="str">
        <f t="shared" si="9"/>
        <v/>
      </c>
      <c r="AO21">
        <f>IF($C21="Phase",IF($AR21=0,"",IF(COUNT(E22:INDEX(E$6:E$156,16+$AR21))=0,"",MIN(E22:INDEX(E$6:E$156,16+$AR21)))),IF($E21="","",$E21))</f>
        <v>46356</v>
      </c>
      <c r="AP21">
        <f>IF($C21="Phase",IF($AO21="","",MAX(G22:INDEX(G$6:G$156,16+$AR21))),IF($G21="","",$G21))</f>
        <v>46359</v>
      </c>
      <c r="AQ21">
        <f>IF($C21="Phase",IF($AR21=0,0,IF(SUM(F22:INDEX(F$6:F$156,16+$AR21))=0,0,SUMPRODUCT(F22:INDEX(F$6:F$156,16+$AR21),H22:INDEX(H$6:H$156,16+$AR21))/SUM(F22:INDEX(F$6:F$156,16+$AR21)))),N($H21))</f>
        <v>0</v>
      </c>
      <c r="AR21">
        <f>IF($C21&lt;&gt;"Phase",0,IFERROR(MATCH("Phase",$C22:$C$156,0)-1,134))</f>
        <v>0</v>
      </c>
      <c r="AS21" t="str">
        <f t="shared" si="6"/>
        <v/>
      </c>
    </row>
    <row r="22" spans="1:45" x14ac:dyDescent="0.3">
      <c r="A22" s="19" t="s">
        <v>98</v>
      </c>
      <c r="B22" s="19" t="s">
        <v>99</v>
      </c>
      <c r="C22" s="19" t="s">
        <v>67</v>
      </c>
      <c r="D22" s="19" t="s">
        <v>70</v>
      </c>
      <c r="E22" s="20">
        <v>46357</v>
      </c>
      <c r="F22" s="19">
        <v>2</v>
      </c>
      <c r="G22" s="21">
        <f>IF($C22="Phase",$AP22,IF(OR($E22="",$F22=""),"",IF(N($F22)&lt;=0,$E22,WORKDAY.INTL($E22,$F22-1,Settings!$B$9,Holidays!$A$4:$A$103))))</f>
        <v>46358</v>
      </c>
      <c r="H22" s="22">
        <v>0</v>
      </c>
      <c r="I22" s="23" t="str">
        <f t="shared" ca="1" si="2"/>
        <v>Not started</v>
      </c>
      <c r="J22" s="19"/>
      <c r="K22" s="24" t="str">
        <f t="shared" si="7"/>
        <v/>
      </c>
      <c r="L22" s="24" t="str">
        <f t="shared" si="7"/>
        <v/>
      </c>
      <c r="M22" s="24" t="str">
        <f t="shared" si="7"/>
        <v/>
      </c>
      <c r="N22" s="24" t="str">
        <f t="shared" si="7"/>
        <v/>
      </c>
      <c r="O22" s="24" t="str">
        <f t="shared" si="7"/>
        <v/>
      </c>
      <c r="P22" s="24" t="str">
        <f t="shared" si="7"/>
        <v/>
      </c>
      <c r="Q22" s="24" t="str">
        <f t="shared" si="7"/>
        <v/>
      </c>
      <c r="R22" s="24" t="str">
        <f t="shared" si="7"/>
        <v/>
      </c>
      <c r="S22" s="24" t="str">
        <f t="shared" si="7"/>
        <v/>
      </c>
      <c r="T22" s="24" t="str">
        <f t="shared" si="7"/>
        <v/>
      </c>
      <c r="U22" s="24" t="str">
        <f t="shared" si="8"/>
        <v/>
      </c>
      <c r="V22" s="24" t="str">
        <f t="shared" si="8"/>
        <v/>
      </c>
      <c r="W22" s="24" t="str">
        <f t="shared" si="8"/>
        <v/>
      </c>
      <c r="X22" s="24" t="str">
        <f t="shared" si="8"/>
        <v/>
      </c>
      <c r="Y22" s="24" t="str">
        <f t="shared" si="8"/>
        <v/>
      </c>
      <c r="Z22" s="24" t="str">
        <f t="shared" si="8"/>
        <v/>
      </c>
      <c r="AA22" s="24" t="str">
        <f t="shared" si="8"/>
        <v/>
      </c>
      <c r="AB22" s="24" t="str">
        <f t="shared" si="8"/>
        <v/>
      </c>
      <c r="AC22" s="24" t="str">
        <f t="shared" si="8"/>
        <v/>
      </c>
      <c r="AD22" s="24" t="str">
        <f t="shared" si="8"/>
        <v/>
      </c>
      <c r="AE22" s="24" t="str">
        <f t="shared" si="9"/>
        <v/>
      </c>
      <c r="AF22" s="24" t="str">
        <f t="shared" si="9"/>
        <v/>
      </c>
      <c r="AG22" s="24" t="str">
        <f t="shared" si="9"/>
        <v/>
      </c>
      <c r="AH22" s="24" t="str">
        <f t="shared" si="9"/>
        <v/>
      </c>
      <c r="AI22" s="24" t="str">
        <f t="shared" si="9"/>
        <v/>
      </c>
      <c r="AJ22" s="24" t="str">
        <f t="shared" si="9"/>
        <v/>
      </c>
      <c r="AK22" s="24" t="str">
        <f t="shared" si="9"/>
        <v/>
      </c>
      <c r="AL22" s="24" t="str">
        <f t="shared" si="9"/>
        <v/>
      </c>
      <c r="AM22" s="24" t="str">
        <f t="shared" si="9"/>
        <v/>
      </c>
      <c r="AN22" s="24" t="str">
        <f t="shared" si="9"/>
        <v/>
      </c>
      <c r="AO22">
        <f>IF($C22="Phase",IF($AR22=0,"",IF(COUNT(E23:INDEX(E$6:E$156,17+$AR22))=0,"",MIN(E23:INDEX(E$6:E$156,17+$AR22)))),IF($E22="","",$E22))</f>
        <v>46357</v>
      </c>
      <c r="AP22">
        <f>IF($C22="Phase",IF($AO22="","",MAX(G23:INDEX(G$6:G$156,17+$AR22))),IF($G22="","",$G22))</f>
        <v>46358</v>
      </c>
      <c r="AQ22">
        <f>IF($C22="Phase",IF($AR22=0,0,IF(SUM(F23:INDEX(F$6:F$156,17+$AR22))=0,0,SUMPRODUCT(F23:INDEX(F$6:F$156,17+$AR22),H23:INDEX(H$6:H$156,17+$AR22))/SUM(F23:INDEX(F$6:F$156,17+$AR22)))),N($H22))</f>
        <v>0</v>
      </c>
      <c r="AR22">
        <f>IF($C22&lt;&gt;"Phase",0,IFERROR(MATCH("Phase",$C23:$C$156,0)-1,133))</f>
        <v>0</v>
      </c>
      <c r="AS22" t="str">
        <f t="shared" si="6"/>
        <v/>
      </c>
    </row>
    <row r="23" spans="1:45" x14ac:dyDescent="0.3">
      <c r="A23" s="19" t="s">
        <v>100</v>
      </c>
      <c r="B23" s="19" t="s">
        <v>101</v>
      </c>
      <c r="C23" s="19" t="s">
        <v>63</v>
      </c>
      <c r="D23" s="19" t="s">
        <v>64</v>
      </c>
      <c r="E23" s="20">
        <v>46363</v>
      </c>
      <c r="F23" s="19">
        <v>0</v>
      </c>
      <c r="G23" s="21">
        <f>IF($C23="Phase",$AP23,IF(OR($E23="",$F23=""),"",IF(N($F23)&lt;=0,$E23,WORKDAY.INTL($E23,$F23-1,Settings!$B$9,Holidays!$A$4:$A$103))))</f>
        <v>46363</v>
      </c>
      <c r="H23" s="22">
        <v>0</v>
      </c>
      <c r="I23" s="23" t="str">
        <f t="shared" ca="1" si="2"/>
        <v>Not started</v>
      </c>
      <c r="J23" s="19" t="s">
        <v>96</v>
      </c>
      <c r="K23" s="24" t="str">
        <f t="shared" ca="1" si="7"/>
        <v/>
      </c>
      <c r="L23" s="24" t="str">
        <f t="shared" ca="1" si="7"/>
        <v/>
      </c>
      <c r="M23" s="24" t="str">
        <f t="shared" ca="1" si="7"/>
        <v/>
      </c>
      <c r="N23" s="24" t="str">
        <f t="shared" ca="1" si="7"/>
        <v/>
      </c>
      <c r="O23" s="24" t="str">
        <f t="shared" ca="1" si="7"/>
        <v/>
      </c>
      <c r="P23" s="24" t="str">
        <f t="shared" ca="1" si="7"/>
        <v/>
      </c>
      <c r="Q23" s="24" t="str">
        <f t="shared" ca="1" si="7"/>
        <v/>
      </c>
      <c r="R23" s="24" t="str">
        <f t="shared" ca="1" si="7"/>
        <v/>
      </c>
      <c r="S23" s="24" t="str">
        <f t="shared" ca="1" si="7"/>
        <v>◆</v>
      </c>
      <c r="T23" s="24" t="str">
        <f t="shared" ca="1" si="7"/>
        <v/>
      </c>
      <c r="U23" s="24" t="str">
        <f t="shared" ca="1" si="8"/>
        <v/>
      </c>
      <c r="V23" s="24" t="str">
        <f t="shared" ca="1" si="8"/>
        <v/>
      </c>
      <c r="W23" s="24" t="str">
        <f t="shared" ca="1" si="8"/>
        <v/>
      </c>
      <c r="X23" s="24" t="str">
        <f t="shared" ca="1" si="8"/>
        <v/>
      </c>
      <c r="Y23" s="24" t="str">
        <f t="shared" ca="1" si="8"/>
        <v/>
      </c>
      <c r="Z23" s="24" t="str">
        <f t="shared" ca="1" si="8"/>
        <v/>
      </c>
      <c r="AA23" s="24" t="str">
        <f t="shared" ca="1" si="8"/>
        <v/>
      </c>
      <c r="AB23" s="24" t="str">
        <f t="shared" ca="1" si="8"/>
        <v/>
      </c>
      <c r="AC23" s="24" t="str">
        <f t="shared" ca="1" si="8"/>
        <v/>
      </c>
      <c r="AD23" s="24" t="str">
        <f t="shared" ca="1" si="8"/>
        <v/>
      </c>
      <c r="AE23" s="24" t="str">
        <f t="shared" ca="1" si="9"/>
        <v/>
      </c>
      <c r="AF23" s="24" t="str">
        <f t="shared" ca="1" si="9"/>
        <v/>
      </c>
      <c r="AG23" s="24" t="str">
        <f t="shared" ca="1" si="9"/>
        <v/>
      </c>
      <c r="AH23" s="24" t="str">
        <f t="shared" ca="1" si="9"/>
        <v/>
      </c>
      <c r="AI23" s="24" t="str">
        <f t="shared" ca="1" si="9"/>
        <v/>
      </c>
      <c r="AJ23" s="24" t="str">
        <f t="shared" ca="1" si="9"/>
        <v/>
      </c>
      <c r="AK23" s="24" t="str">
        <f t="shared" ca="1" si="9"/>
        <v/>
      </c>
      <c r="AL23" s="24" t="str">
        <f t="shared" ca="1" si="9"/>
        <v/>
      </c>
      <c r="AM23" s="24" t="str">
        <f t="shared" ca="1" si="9"/>
        <v/>
      </c>
      <c r="AN23" s="24" t="str">
        <f t="shared" ca="1" si="9"/>
        <v/>
      </c>
      <c r="AO23">
        <f>IF($C23="Phase",IF($AR23=0,"",IF(COUNT(E24:INDEX(E$6:E$156,18+$AR23))=0,"",MIN(E24:INDEX(E$6:E$156,18+$AR23)))),IF($E23="","",$E23))</f>
        <v>46363</v>
      </c>
      <c r="AP23">
        <f>IF($C23="Phase",IF($AO23="","",MAX(G24:INDEX(G$6:G$156,18+$AR23))),IF($G23="","",$G23))</f>
        <v>46363</v>
      </c>
      <c r="AQ23">
        <f>IF($C23="Phase",IF($AR23=0,0,IF(SUM(F24:INDEX(F$6:F$156,18+$AR23))=0,0,SUMPRODUCT(F24:INDEX(F$6:F$156,18+$AR23),H24:INDEX(H$6:H$156,18+$AR23))/SUM(F24:INDEX(F$6:F$156,18+$AR23)))),N($H23))</f>
        <v>0</v>
      </c>
      <c r="AR23">
        <f>IF($C23&lt;&gt;"Phase",0,IFERROR(MATCH("Phase",$C24:$C$156,0)-1,132))</f>
        <v>0</v>
      </c>
      <c r="AS23">
        <f t="shared" si="6"/>
        <v>46363</v>
      </c>
    </row>
    <row r="24" spans="1:45" x14ac:dyDescent="0.3">
      <c r="A24" s="19" t="s">
        <v>102</v>
      </c>
      <c r="B24" s="19" t="s">
        <v>103</v>
      </c>
      <c r="C24" s="19" t="s">
        <v>67</v>
      </c>
      <c r="D24" s="19" t="s">
        <v>64</v>
      </c>
      <c r="E24" s="20">
        <v>46364</v>
      </c>
      <c r="F24" s="19">
        <v>3</v>
      </c>
      <c r="G24" s="21">
        <f>IF($C24="Phase",$AP24,IF(OR($E24="",$F24=""),"",IF(N($F24)&lt;=0,$E24,WORKDAY.INTL($E24,$F24-1,Settings!$B$9,Holidays!$A$4:$A$103))))</f>
        <v>46366</v>
      </c>
      <c r="H24" s="22">
        <v>0</v>
      </c>
      <c r="I24" s="23" t="str">
        <f t="shared" ca="1" si="2"/>
        <v>Not started</v>
      </c>
      <c r="J24" s="19" t="s">
        <v>100</v>
      </c>
      <c r="K24" s="24" t="str">
        <f t="shared" si="7"/>
        <v/>
      </c>
      <c r="L24" s="24" t="str">
        <f t="shared" si="7"/>
        <v/>
      </c>
      <c r="M24" s="24" t="str">
        <f t="shared" si="7"/>
        <v/>
      </c>
      <c r="N24" s="24" t="str">
        <f t="shared" si="7"/>
        <v/>
      </c>
      <c r="O24" s="24" t="str">
        <f t="shared" si="7"/>
        <v/>
      </c>
      <c r="P24" s="24" t="str">
        <f t="shared" si="7"/>
        <v/>
      </c>
      <c r="Q24" s="24" t="str">
        <f t="shared" si="7"/>
        <v/>
      </c>
      <c r="R24" s="24" t="str">
        <f t="shared" si="7"/>
        <v/>
      </c>
      <c r="S24" s="24" t="str">
        <f t="shared" si="7"/>
        <v/>
      </c>
      <c r="T24" s="24" t="str">
        <f t="shared" si="7"/>
        <v/>
      </c>
      <c r="U24" s="24" t="str">
        <f t="shared" si="8"/>
        <v/>
      </c>
      <c r="V24" s="24" t="str">
        <f t="shared" si="8"/>
        <v/>
      </c>
      <c r="W24" s="24" t="str">
        <f t="shared" si="8"/>
        <v/>
      </c>
      <c r="X24" s="24" t="str">
        <f t="shared" si="8"/>
        <v/>
      </c>
      <c r="Y24" s="24" t="str">
        <f t="shared" si="8"/>
        <v/>
      </c>
      <c r="Z24" s="24" t="str">
        <f t="shared" si="8"/>
        <v/>
      </c>
      <c r="AA24" s="24" t="str">
        <f t="shared" si="8"/>
        <v/>
      </c>
      <c r="AB24" s="24" t="str">
        <f t="shared" si="8"/>
        <v/>
      </c>
      <c r="AC24" s="24" t="str">
        <f t="shared" si="8"/>
        <v/>
      </c>
      <c r="AD24" s="24" t="str">
        <f t="shared" si="8"/>
        <v/>
      </c>
      <c r="AE24" s="24" t="str">
        <f t="shared" si="9"/>
        <v/>
      </c>
      <c r="AF24" s="24" t="str">
        <f t="shared" si="9"/>
        <v/>
      </c>
      <c r="AG24" s="24" t="str">
        <f t="shared" si="9"/>
        <v/>
      </c>
      <c r="AH24" s="24" t="str">
        <f t="shared" si="9"/>
        <v/>
      </c>
      <c r="AI24" s="24" t="str">
        <f t="shared" si="9"/>
        <v/>
      </c>
      <c r="AJ24" s="24" t="str">
        <f t="shared" si="9"/>
        <v/>
      </c>
      <c r="AK24" s="24" t="str">
        <f t="shared" si="9"/>
        <v/>
      </c>
      <c r="AL24" s="24" t="str">
        <f t="shared" si="9"/>
        <v/>
      </c>
      <c r="AM24" s="24" t="str">
        <f t="shared" si="9"/>
        <v/>
      </c>
      <c r="AN24" s="24" t="str">
        <f t="shared" si="9"/>
        <v/>
      </c>
      <c r="AO24">
        <f>IF($C24="Phase",IF($AR24=0,"",IF(COUNT(E25:INDEX(E$6:E$156,19+$AR24))=0,"",MIN(E25:INDEX(E$6:E$156,19+$AR24)))),IF($E24="","",$E24))</f>
        <v>46364</v>
      </c>
      <c r="AP24">
        <f>IF($C24="Phase",IF($AO24="","",MAX(G25:INDEX(G$6:G$156,19+$AR24))),IF($G24="","",$G24))</f>
        <v>46366</v>
      </c>
      <c r="AQ24">
        <f>IF($C24="Phase",IF($AR24=0,0,IF(SUM(F25:INDEX(F$6:F$156,19+$AR24))=0,0,SUMPRODUCT(F25:INDEX(F$6:F$156,19+$AR24),H25:INDEX(H$6:H$156,19+$AR24))/SUM(F25:INDEX(F$6:F$156,19+$AR24)))),N($H24))</f>
        <v>0</v>
      </c>
      <c r="AR24">
        <f>IF($C24&lt;&gt;"Phase",0,IFERROR(MATCH("Phase",$C25:$C$156,0)-1,131))</f>
        <v>0</v>
      </c>
      <c r="AS24" t="str">
        <f t="shared" si="6"/>
        <v/>
      </c>
    </row>
    <row r="25" spans="1:45" x14ac:dyDescent="0.3">
      <c r="A25" s="19"/>
      <c r="B25" s="19"/>
      <c r="C25" s="19"/>
      <c r="D25" s="19"/>
      <c r="E25" s="20"/>
      <c r="F25" s="19"/>
      <c r="G25" s="21" t="str">
        <f>IF($C25="Phase",$AP25,IF(OR($E25="",$F25=""),"",IF(N($F25)&lt;=0,$E25,WORKDAY.INTL($E25,$F25-1,Settings!$B$9,Holidays!$A$4:$A$103))))</f>
        <v/>
      </c>
      <c r="H25" s="22"/>
      <c r="I25" s="23" t="str">
        <f t="shared" ca="1" si="2"/>
        <v/>
      </c>
      <c r="J25" s="19"/>
      <c r="K25" s="24" t="str">
        <f t="shared" si="7"/>
        <v/>
      </c>
      <c r="L25" s="24" t="str">
        <f t="shared" si="7"/>
        <v/>
      </c>
      <c r="M25" s="24" t="str">
        <f t="shared" si="7"/>
        <v/>
      </c>
      <c r="N25" s="24" t="str">
        <f t="shared" si="7"/>
        <v/>
      </c>
      <c r="O25" s="24" t="str">
        <f t="shared" si="7"/>
        <v/>
      </c>
      <c r="P25" s="24" t="str">
        <f t="shared" si="7"/>
        <v/>
      </c>
      <c r="Q25" s="24" t="str">
        <f t="shared" si="7"/>
        <v/>
      </c>
      <c r="R25" s="24" t="str">
        <f t="shared" si="7"/>
        <v/>
      </c>
      <c r="S25" s="24" t="str">
        <f t="shared" si="7"/>
        <v/>
      </c>
      <c r="T25" s="24" t="str">
        <f t="shared" si="7"/>
        <v/>
      </c>
      <c r="U25" s="24" t="str">
        <f t="shared" si="8"/>
        <v/>
      </c>
      <c r="V25" s="24" t="str">
        <f t="shared" si="8"/>
        <v/>
      </c>
      <c r="W25" s="24" t="str">
        <f t="shared" si="8"/>
        <v/>
      </c>
      <c r="X25" s="24" t="str">
        <f t="shared" si="8"/>
        <v/>
      </c>
      <c r="Y25" s="24" t="str">
        <f t="shared" si="8"/>
        <v/>
      </c>
      <c r="Z25" s="24" t="str">
        <f t="shared" si="8"/>
        <v/>
      </c>
      <c r="AA25" s="24" t="str">
        <f t="shared" si="8"/>
        <v/>
      </c>
      <c r="AB25" s="24" t="str">
        <f t="shared" si="8"/>
        <v/>
      </c>
      <c r="AC25" s="24" t="str">
        <f t="shared" si="8"/>
        <v/>
      </c>
      <c r="AD25" s="24" t="str">
        <f t="shared" si="8"/>
        <v/>
      </c>
      <c r="AE25" s="24" t="str">
        <f t="shared" si="9"/>
        <v/>
      </c>
      <c r="AF25" s="24" t="str">
        <f t="shared" si="9"/>
        <v/>
      </c>
      <c r="AG25" s="24" t="str">
        <f t="shared" si="9"/>
        <v/>
      </c>
      <c r="AH25" s="24" t="str">
        <f t="shared" si="9"/>
        <v/>
      </c>
      <c r="AI25" s="24" t="str">
        <f t="shared" si="9"/>
        <v/>
      </c>
      <c r="AJ25" s="24" t="str">
        <f t="shared" si="9"/>
        <v/>
      </c>
      <c r="AK25" s="24" t="str">
        <f t="shared" si="9"/>
        <v/>
      </c>
      <c r="AL25" s="24" t="str">
        <f t="shared" si="9"/>
        <v/>
      </c>
      <c r="AM25" s="24" t="str">
        <f t="shared" si="9"/>
        <v/>
      </c>
      <c r="AN25" s="24" t="str">
        <f t="shared" si="9"/>
        <v/>
      </c>
      <c r="AO25" t="str">
        <f>IF($C25="Phase",IF($AR25=0,"",IF(COUNT(E26:INDEX(E$6:E$156,20+$AR25))=0,"",MIN(E26:INDEX(E$6:E$156,20+$AR25)))),IF($E25="","",$E25))</f>
        <v/>
      </c>
      <c r="AP25" t="str">
        <f>IF($C25="Phase",IF($AO25="","",MAX(G26:INDEX(G$6:G$156,20+$AR25))),IF($G25="","",$G25))</f>
        <v/>
      </c>
      <c r="AQ25">
        <f>IF($C25="Phase",IF($AR25=0,0,IF(SUM(F26:INDEX(F$6:F$156,20+$AR25))=0,0,SUMPRODUCT(F26:INDEX(F$6:F$156,20+$AR25),H26:INDEX(H$6:H$156,20+$AR25))/SUM(F26:INDEX(F$6:F$156,20+$AR25)))),N($H25))</f>
        <v>0</v>
      </c>
      <c r="AR25">
        <f>IF($C25&lt;&gt;"Phase",0,IFERROR(MATCH("Phase",$C26:$C$156,0)-1,130))</f>
        <v>0</v>
      </c>
      <c r="AS25" t="str">
        <f t="shared" si="6"/>
        <v/>
      </c>
    </row>
    <row r="26" spans="1:45" x14ac:dyDescent="0.3">
      <c r="A26" s="19"/>
      <c r="B26" s="19"/>
      <c r="C26" s="19"/>
      <c r="D26" s="19"/>
      <c r="E26" s="20"/>
      <c r="F26" s="19"/>
      <c r="G26" s="21" t="str">
        <f>IF($C26="Phase",$AP26,IF(OR($E26="",$F26=""),"",IF(N($F26)&lt;=0,$E26,WORKDAY.INTL($E26,$F26-1,Settings!$B$9,Holidays!$A$4:$A$103))))</f>
        <v/>
      </c>
      <c r="H26" s="22"/>
      <c r="I26" s="23" t="str">
        <f t="shared" ca="1" si="2"/>
        <v/>
      </c>
      <c r="J26" s="19"/>
      <c r="K26" s="24" t="str">
        <f t="shared" ref="K26:T35" si="10">IF(AND($C26="Milestone",$AP26&lt;&gt;""),IF(AND($AP26&gt;=K$5,$AP26&lt;K$5+$AO$3),"◆",""),"")</f>
        <v/>
      </c>
      <c r="L26" s="24" t="str">
        <f t="shared" si="10"/>
        <v/>
      </c>
      <c r="M26" s="24" t="str">
        <f t="shared" si="10"/>
        <v/>
      </c>
      <c r="N26" s="24" t="str">
        <f t="shared" si="10"/>
        <v/>
      </c>
      <c r="O26" s="24" t="str">
        <f t="shared" si="10"/>
        <v/>
      </c>
      <c r="P26" s="24" t="str">
        <f t="shared" si="10"/>
        <v/>
      </c>
      <c r="Q26" s="24" t="str">
        <f t="shared" si="10"/>
        <v/>
      </c>
      <c r="R26" s="24" t="str">
        <f t="shared" si="10"/>
        <v/>
      </c>
      <c r="S26" s="24" t="str">
        <f t="shared" si="10"/>
        <v/>
      </c>
      <c r="T26" s="24" t="str">
        <f t="shared" si="10"/>
        <v/>
      </c>
      <c r="U26" s="24" t="str">
        <f t="shared" ref="U26:AD35" si="11">IF(AND($C26="Milestone",$AP26&lt;&gt;""),IF(AND($AP26&gt;=U$5,$AP26&lt;U$5+$AO$3),"◆",""),"")</f>
        <v/>
      </c>
      <c r="V26" s="24" t="str">
        <f t="shared" si="11"/>
        <v/>
      </c>
      <c r="W26" s="24" t="str">
        <f t="shared" si="11"/>
        <v/>
      </c>
      <c r="X26" s="24" t="str">
        <f t="shared" si="11"/>
        <v/>
      </c>
      <c r="Y26" s="24" t="str">
        <f t="shared" si="11"/>
        <v/>
      </c>
      <c r="Z26" s="24" t="str">
        <f t="shared" si="11"/>
        <v/>
      </c>
      <c r="AA26" s="24" t="str">
        <f t="shared" si="11"/>
        <v/>
      </c>
      <c r="AB26" s="24" t="str">
        <f t="shared" si="11"/>
        <v/>
      </c>
      <c r="AC26" s="24" t="str">
        <f t="shared" si="11"/>
        <v/>
      </c>
      <c r="AD26" s="24" t="str">
        <f t="shared" si="11"/>
        <v/>
      </c>
      <c r="AE26" s="24" t="str">
        <f t="shared" ref="AE26:AN35" si="12">IF(AND($C26="Milestone",$AP26&lt;&gt;""),IF(AND($AP26&gt;=AE$5,$AP26&lt;AE$5+$AO$3),"◆",""),"")</f>
        <v/>
      </c>
      <c r="AF26" s="24" t="str">
        <f t="shared" si="12"/>
        <v/>
      </c>
      <c r="AG26" s="24" t="str">
        <f t="shared" si="12"/>
        <v/>
      </c>
      <c r="AH26" s="24" t="str">
        <f t="shared" si="12"/>
        <v/>
      </c>
      <c r="AI26" s="24" t="str">
        <f t="shared" si="12"/>
        <v/>
      </c>
      <c r="AJ26" s="24" t="str">
        <f t="shared" si="12"/>
        <v/>
      </c>
      <c r="AK26" s="24" t="str">
        <f t="shared" si="12"/>
        <v/>
      </c>
      <c r="AL26" s="24" t="str">
        <f t="shared" si="12"/>
        <v/>
      </c>
      <c r="AM26" s="24" t="str">
        <f t="shared" si="12"/>
        <v/>
      </c>
      <c r="AN26" s="24" t="str">
        <f t="shared" si="12"/>
        <v/>
      </c>
      <c r="AO26" t="str">
        <f>IF($C26="Phase",IF($AR26=0,"",IF(COUNT(E27:INDEX(E$6:E$156,21+$AR26))=0,"",MIN(E27:INDEX(E$6:E$156,21+$AR26)))),IF($E26="","",$E26))</f>
        <v/>
      </c>
      <c r="AP26" t="str">
        <f>IF($C26="Phase",IF($AO26="","",MAX(G27:INDEX(G$6:G$156,21+$AR26))),IF($G26="","",$G26))</f>
        <v/>
      </c>
      <c r="AQ26">
        <f>IF($C26="Phase",IF($AR26=0,0,IF(SUM(F27:INDEX(F$6:F$156,21+$AR26))=0,0,SUMPRODUCT(F27:INDEX(F$6:F$156,21+$AR26),H27:INDEX(H$6:H$156,21+$AR26))/SUM(F27:INDEX(F$6:F$156,21+$AR26)))),N($H26))</f>
        <v>0</v>
      </c>
      <c r="AR26">
        <f>IF($C26&lt;&gt;"Phase",0,IFERROR(MATCH("Phase",$C27:$C$156,0)-1,129))</f>
        <v>0</v>
      </c>
      <c r="AS26" t="str">
        <f t="shared" si="6"/>
        <v/>
      </c>
    </row>
    <row r="27" spans="1:45" x14ac:dyDescent="0.3">
      <c r="A27" s="19"/>
      <c r="B27" s="19"/>
      <c r="C27" s="19"/>
      <c r="D27" s="19"/>
      <c r="E27" s="20"/>
      <c r="F27" s="19"/>
      <c r="G27" s="21" t="str">
        <f>IF($C27="Phase",$AP27,IF(OR($E27="",$F27=""),"",IF(N($F27)&lt;=0,$E27,WORKDAY.INTL($E27,$F27-1,Settings!$B$9,Holidays!$A$4:$A$103))))</f>
        <v/>
      </c>
      <c r="H27" s="22"/>
      <c r="I27" s="23" t="str">
        <f t="shared" ca="1" si="2"/>
        <v/>
      </c>
      <c r="J27" s="19"/>
      <c r="K27" s="24" t="str">
        <f t="shared" si="10"/>
        <v/>
      </c>
      <c r="L27" s="24" t="str">
        <f t="shared" si="10"/>
        <v/>
      </c>
      <c r="M27" s="24" t="str">
        <f t="shared" si="10"/>
        <v/>
      </c>
      <c r="N27" s="24" t="str">
        <f t="shared" si="10"/>
        <v/>
      </c>
      <c r="O27" s="24" t="str">
        <f t="shared" si="10"/>
        <v/>
      </c>
      <c r="P27" s="24" t="str">
        <f t="shared" si="10"/>
        <v/>
      </c>
      <c r="Q27" s="24" t="str">
        <f t="shared" si="10"/>
        <v/>
      </c>
      <c r="R27" s="24" t="str">
        <f t="shared" si="10"/>
        <v/>
      </c>
      <c r="S27" s="24" t="str">
        <f t="shared" si="10"/>
        <v/>
      </c>
      <c r="T27" s="24" t="str">
        <f t="shared" si="10"/>
        <v/>
      </c>
      <c r="U27" s="24" t="str">
        <f t="shared" si="11"/>
        <v/>
      </c>
      <c r="V27" s="24" t="str">
        <f t="shared" si="11"/>
        <v/>
      </c>
      <c r="W27" s="24" t="str">
        <f t="shared" si="11"/>
        <v/>
      </c>
      <c r="X27" s="24" t="str">
        <f t="shared" si="11"/>
        <v/>
      </c>
      <c r="Y27" s="24" t="str">
        <f t="shared" si="11"/>
        <v/>
      </c>
      <c r="Z27" s="24" t="str">
        <f t="shared" si="11"/>
        <v/>
      </c>
      <c r="AA27" s="24" t="str">
        <f t="shared" si="11"/>
        <v/>
      </c>
      <c r="AB27" s="24" t="str">
        <f t="shared" si="11"/>
        <v/>
      </c>
      <c r="AC27" s="24" t="str">
        <f t="shared" si="11"/>
        <v/>
      </c>
      <c r="AD27" s="24" t="str">
        <f t="shared" si="11"/>
        <v/>
      </c>
      <c r="AE27" s="24" t="str">
        <f t="shared" si="12"/>
        <v/>
      </c>
      <c r="AF27" s="24" t="str">
        <f t="shared" si="12"/>
        <v/>
      </c>
      <c r="AG27" s="24" t="str">
        <f t="shared" si="12"/>
        <v/>
      </c>
      <c r="AH27" s="24" t="str">
        <f t="shared" si="12"/>
        <v/>
      </c>
      <c r="AI27" s="24" t="str">
        <f t="shared" si="12"/>
        <v/>
      </c>
      <c r="AJ27" s="24" t="str">
        <f t="shared" si="12"/>
        <v/>
      </c>
      <c r="AK27" s="24" t="str">
        <f t="shared" si="12"/>
        <v/>
      </c>
      <c r="AL27" s="24" t="str">
        <f t="shared" si="12"/>
        <v/>
      </c>
      <c r="AM27" s="24" t="str">
        <f t="shared" si="12"/>
        <v/>
      </c>
      <c r="AN27" s="24" t="str">
        <f t="shared" si="12"/>
        <v/>
      </c>
      <c r="AO27" t="str">
        <f>IF($C27="Phase",IF($AR27=0,"",IF(COUNT(E28:INDEX(E$6:E$156,22+$AR27))=0,"",MIN(E28:INDEX(E$6:E$156,22+$AR27)))),IF($E27="","",$E27))</f>
        <v/>
      </c>
      <c r="AP27" t="str">
        <f>IF($C27="Phase",IF($AO27="","",MAX(G28:INDEX(G$6:G$156,22+$AR27))),IF($G27="","",$G27))</f>
        <v/>
      </c>
      <c r="AQ27">
        <f>IF($C27="Phase",IF($AR27=0,0,IF(SUM(F28:INDEX(F$6:F$156,22+$AR27))=0,0,SUMPRODUCT(F28:INDEX(F$6:F$156,22+$AR27),H28:INDEX(H$6:H$156,22+$AR27))/SUM(F28:INDEX(F$6:F$156,22+$AR27)))),N($H27))</f>
        <v>0</v>
      </c>
      <c r="AR27">
        <f>IF($C27&lt;&gt;"Phase",0,IFERROR(MATCH("Phase",$C28:$C$156,0)-1,128))</f>
        <v>0</v>
      </c>
      <c r="AS27" t="str">
        <f t="shared" si="6"/>
        <v/>
      </c>
    </row>
    <row r="28" spans="1:45" x14ac:dyDescent="0.3">
      <c r="A28" s="19"/>
      <c r="B28" s="19"/>
      <c r="C28" s="19"/>
      <c r="D28" s="19"/>
      <c r="E28" s="20"/>
      <c r="F28" s="19"/>
      <c r="G28" s="21" t="str">
        <f>IF($C28="Phase",$AP28,IF(OR($E28="",$F28=""),"",IF(N($F28)&lt;=0,$E28,WORKDAY.INTL($E28,$F28-1,Settings!$B$9,Holidays!$A$4:$A$103))))</f>
        <v/>
      </c>
      <c r="H28" s="22"/>
      <c r="I28" s="23" t="str">
        <f t="shared" ca="1" si="2"/>
        <v/>
      </c>
      <c r="J28" s="19"/>
      <c r="K28" s="24" t="str">
        <f t="shared" si="10"/>
        <v/>
      </c>
      <c r="L28" s="24" t="str">
        <f t="shared" si="10"/>
        <v/>
      </c>
      <c r="M28" s="24" t="str">
        <f t="shared" si="10"/>
        <v/>
      </c>
      <c r="N28" s="24" t="str">
        <f t="shared" si="10"/>
        <v/>
      </c>
      <c r="O28" s="24" t="str">
        <f t="shared" si="10"/>
        <v/>
      </c>
      <c r="P28" s="24" t="str">
        <f t="shared" si="10"/>
        <v/>
      </c>
      <c r="Q28" s="24" t="str">
        <f t="shared" si="10"/>
        <v/>
      </c>
      <c r="R28" s="24" t="str">
        <f t="shared" si="10"/>
        <v/>
      </c>
      <c r="S28" s="24" t="str">
        <f t="shared" si="10"/>
        <v/>
      </c>
      <c r="T28" s="24" t="str">
        <f t="shared" si="10"/>
        <v/>
      </c>
      <c r="U28" s="24" t="str">
        <f t="shared" si="11"/>
        <v/>
      </c>
      <c r="V28" s="24" t="str">
        <f t="shared" si="11"/>
        <v/>
      </c>
      <c r="W28" s="24" t="str">
        <f t="shared" si="11"/>
        <v/>
      </c>
      <c r="X28" s="24" t="str">
        <f t="shared" si="11"/>
        <v/>
      </c>
      <c r="Y28" s="24" t="str">
        <f t="shared" si="11"/>
        <v/>
      </c>
      <c r="Z28" s="24" t="str">
        <f t="shared" si="11"/>
        <v/>
      </c>
      <c r="AA28" s="24" t="str">
        <f t="shared" si="11"/>
        <v/>
      </c>
      <c r="AB28" s="24" t="str">
        <f t="shared" si="11"/>
        <v/>
      </c>
      <c r="AC28" s="24" t="str">
        <f t="shared" si="11"/>
        <v/>
      </c>
      <c r="AD28" s="24" t="str">
        <f t="shared" si="11"/>
        <v/>
      </c>
      <c r="AE28" s="24" t="str">
        <f t="shared" si="12"/>
        <v/>
      </c>
      <c r="AF28" s="24" t="str">
        <f t="shared" si="12"/>
        <v/>
      </c>
      <c r="AG28" s="24" t="str">
        <f t="shared" si="12"/>
        <v/>
      </c>
      <c r="AH28" s="24" t="str">
        <f t="shared" si="12"/>
        <v/>
      </c>
      <c r="AI28" s="24" t="str">
        <f t="shared" si="12"/>
        <v/>
      </c>
      <c r="AJ28" s="24" t="str">
        <f t="shared" si="12"/>
        <v/>
      </c>
      <c r="AK28" s="24" t="str">
        <f t="shared" si="12"/>
        <v/>
      </c>
      <c r="AL28" s="24" t="str">
        <f t="shared" si="12"/>
        <v/>
      </c>
      <c r="AM28" s="24" t="str">
        <f t="shared" si="12"/>
        <v/>
      </c>
      <c r="AN28" s="24" t="str">
        <f t="shared" si="12"/>
        <v/>
      </c>
      <c r="AO28" t="str">
        <f>IF($C28="Phase",IF($AR28=0,"",IF(COUNT(E29:INDEX(E$6:E$156,23+$AR28))=0,"",MIN(E29:INDEX(E$6:E$156,23+$AR28)))),IF($E28="","",$E28))</f>
        <v/>
      </c>
      <c r="AP28" t="str">
        <f>IF($C28="Phase",IF($AO28="","",MAX(G29:INDEX(G$6:G$156,23+$AR28))),IF($G28="","",$G28))</f>
        <v/>
      </c>
      <c r="AQ28">
        <f>IF($C28="Phase",IF($AR28=0,0,IF(SUM(F29:INDEX(F$6:F$156,23+$AR28))=0,0,SUMPRODUCT(F29:INDEX(F$6:F$156,23+$AR28),H29:INDEX(H$6:H$156,23+$AR28))/SUM(F29:INDEX(F$6:F$156,23+$AR28)))),N($H28))</f>
        <v>0</v>
      </c>
      <c r="AR28">
        <f>IF($C28&lt;&gt;"Phase",0,IFERROR(MATCH("Phase",$C29:$C$156,0)-1,127))</f>
        <v>0</v>
      </c>
      <c r="AS28" t="str">
        <f t="shared" si="6"/>
        <v/>
      </c>
    </row>
    <row r="29" spans="1:45" x14ac:dyDescent="0.3">
      <c r="A29" s="19"/>
      <c r="B29" s="19"/>
      <c r="C29" s="19"/>
      <c r="D29" s="19"/>
      <c r="E29" s="20"/>
      <c r="F29" s="19"/>
      <c r="G29" s="21" t="str">
        <f>IF($C29="Phase",$AP29,IF(OR($E29="",$F29=""),"",IF(N($F29)&lt;=0,$E29,WORKDAY.INTL($E29,$F29-1,Settings!$B$9,Holidays!$A$4:$A$103))))</f>
        <v/>
      </c>
      <c r="H29" s="22"/>
      <c r="I29" s="23" t="str">
        <f t="shared" ca="1" si="2"/>
        <v/>
      </c>
      <c r="J29" s="19"/>
      <c r="K29" s="24" t="str">
        <f t="shared" si="10"/>
        <v/>
      </c>
      <c r="L29" s="24" t="str">
        <f t="shared" si="10"/>
        <v/>
      </c>
      <c r="M29" s="24" t="str">
        <f t="shared" si="10"/>
        <v/>
      </c>
      <c r="N29" s="24" t="str">
        <f t="shared" si="10"/>
        <v/>
      </c>
      <c r="O29" s="24" t="str">
        <f t="shared" si="10"/>
        <v/>
      </c>
      <c r="P29" s="24" t="str">
        <f t="shared" si="10"/>
        <v/>
      </c>
      <c r="Q29" s="24" t="str">
        <f t="shared" si="10"/>
        <v/>
      </c>
      <c r="R29" s="24" t="str">
        <f t="shared" si="10"/>
        <v/>
      </c>
      <c r="S29" s="24" t="str">
        <f t="shared" si="10"/>
        <v/>
      </c>
      <c r="T29" s="24" t="str">
        <f t="shared" si="10"/>
        <v/>
      </c>
      <c r="U29" s="24" t="str">
        <f t="shared" si="11"/>
        <v/>
      </c>
      <c r="V29" s="24" t="str">
        <f t="shared" si="11"/>
        <v/>
      </c>
      <c r="W29" s="24" t="str">
        <f t="shared" si="11"/>
        <v/>
      </c>
      <c r="X29" s="24" t="str">
        <f t="shared" si="11"/>
        <v/>
      </c>
      <c r="Y29" s="24" t="str">
        <f t="shared" si="11"/>
        <v/>
      </c>
      <c r="Z29" s="24" t="str">
        <f t="shared" si="11"/>
        <v/>
      </c>
      <c r="AA29" s="24" t="str">
        <f t="shared" si="11"/>
        <v/>
      </c>
      <c r="AB29" s="24" t="str">
        <f t="shared" si="11"/>
        <v/>
      </c>
      <c r="AC29" s="24" t="str">
        <f t="shared" si="11"/>
        <v/>
      </c>
      <c r="AD29" s="24" t="str">
        <f t="shared" si="11"/>
        <v/>
      </c>
      <c r="AE29" s="24" t="str">
        <f t="shared" si="12"/>
        <v/>
      </c>
      <c r="AF29" s="24" t="str">
        <f t="shared" si="12"/>
        <v/>
      </c>
      <c r="AG29" s="24" t="str">
        <f t="shared" si="12"/>
        <v/>
      </c>
      <c r="AH29" s="24" t="str">
        <f t="shared" si="12"/>
        <v/>
      </c>
      <c r="AI29" s="24" t="str">
        <f t="shared" si="12"/>
        <v/>
      </c>
      <c r="AJ29" s="24" t="str">
        <f t="shared" si="12"/>
        <v/>
      </c>
      <c r="AK29" s="24" t="str">
        <f t="shared" si="12"/>
        <v/>
      </c>
      <c r="AL29" s="24" t="str">
        <f t="shared" si="12"/>
        <v/>
      </c>
      <c r="AM29" s="24" t="str">
        <f t="shared" si="12"/>
        <v/>
      </c>
      <c r="AN29" s="24" t="str">
        <f t="shared" si="12"/>
        <v/>
      </c>
      <c r="AO29" t="str">
        <f>IF($C29="Phase",IF($AR29=0,"",IF(COUNT(E30:INDEX(E$6:E$156,24+$AR29))=0,"",MIN(E30:INDEX(E$6:E$156,24+$AR29)))),IF($E29="","",$E29))</f>
        <v/>
      </c>
      <c r="AP29" t="str">
        <f>IF($C29="Phase",IF($AO29="","",MAX(G30:INDEX(G$6:G$156,24+$AR29))),IF($G29="","",$G29))</f>
        <v/>
      </c>
      <c r="AQ29">
        <f>IF($C29="Phase",IF($AR29=0,0,IF(SUM(F30:INDEX(F$6:F$156,24+$AR29))=0,0,SUMPRODUCT(F30:INDEX(F$6:F$156,24+$AR29),H30:INDEX(H$6:H$156,24+$AR29))/SUM(F30:INDEX(F$6:F$156,24+$AR29)))),N($H29))</f>
        <v>0</v>
      </c>
      <c r="AR29">
        <f>IF($C29&lt;&gt;"Phase",0,IFERROR(MATCH("Phase",$C30:$C$156,0)-1,126))</f>
        <v>0</v>
      </c>
      <c r="AS29" t="str">
        <f t="shared" si="6"/>
        <v/>
      </c>
    </row>
    <row r="30" spans="1:45" x14ac:dyDescent="0.3">
      <c r="A30" s="19"/>
      <c r="B30" s="19"/>
      <c r="C30" s="19"/>
      <c r="D30" s="19"/>
      <c r="E30" s="20"/>
      <c r="F30" s="19"/>
      <c r="G30" s="21" t="str">
        <f>IF($C30="Phase",$AP30,IF(OR($E30="",$F30=""),"",IF(N($F30)&lt;=0,$E30,WORKDAY.INTL($E30,$F30-1,Settings!$B$9,Holidays!$A$4:$A$103))))</f>
        <v/>
      </c>
      <c r="H30" s="22"/>
      <c r="I30" s="23" t="str">
        <f t="shared" ca="1" si="2"/>
        <v/>
      </c>
      <c r="J30" s="19"/>
      <c r="K30" s="24" t="str">
        <f t="shared" si="10"/>
        <v/>
      </c>
      <c r="L30" s="24" t="str">
        <f t="shared" si="10"/>
        <v/>
      </c>
      <c r="M30" s="24" t="str">
        <f t="shared" si="10"/>
        <v/>
      </c>
      <c r="N30" s="24" t="str">
        <f t="shared" si="10"/>
        <v/>
      </c>
      <c r="O30" s="24" t="str">
        <f t="shared" si="10"/>
        <v/>
      </c>
      <c r="P30" s="24" t="str">
        <f t="shared" si="10"/>
        <v/>
      </c>
      <c r="Q30" s="24" t="str">
        <f t="shared" si="10"/>
        <v/>
      </c>
      <c r="R30" s="24" t="str">
        <f t="shared" si="10"/>
        <v/>
      </c>
      <c r="S30" s="24" t="str">
        <f t="shared" si="10"/>
        <v/>
      </c>
      <c r="T30" s="24" t="str">
        <f t="shared" si="10"/>
        <v/>
      </c>
      <c r="U30" s="24" t="str">
        <f t="shared" si="11"/>
        <v/>
      </c>
      <c r="V30" s="24" t="str">
        <f t="shared" si="11"/>
        <v/>
      </c>
      <c r="W30" s="24" t="str">
        <f t="shared" si="11"/>
        <v/>
      </c>
      <c r="X30" s="24" t="str">
        <f t="shared" si="11"/>
        <v/>
      </c>
      <c r="Y30" s="24" t="str">
        <f t="shared" si="11"/>
        <v/>
      </c>
      <c r="Z30" s="24" t="str">
        <f t="shared" si="11"/>
        <v/>
      </c>
      <c r="AA30" s="24" t="str">
        <f t="shared" si="11"/>
        <v/>
      </c>
      <c r="AB30" s="24" t="str">
        <f t="shared" si="11"/>
        <v/>
      </c>
      <c r="AC30" s="24" t="str">
        <f t="shared" si="11"/>
        <v/>
      </c>
      <c r="AD30" s="24" t="str">
        <f t="shared" si="11"/>
        <v/>
      </c>
      <c r="AE30" s="24" t="str">
        <f t="shared" si="12"/>
        <v/>
      </c>
      <c r="AF30" s="24" t="str">
        <f t="shared" si="12"/>
        <v/>
      </c>
      <c r="AG30" s="24" t="str">
        <f t="shared" si="12"/>
        <v/>
      </c>
      <c r="AH30" s="24" t="str">
        <f t="shared" si="12"/>
        <v/>
      </c>
      <c r="AI30" s="24" t="str">
        <f t="shared" si="12"/>
        <v/>
      </c>
      <c r="AJ30" s="24" t="str">
        <f t="shared" si="12"/>
        <v/>
      </c>
      <c r="AK30" s="24" t="str">
        <f t="shared" si="12"/>
        <v/>
      </c>
      <c r="AL30" s="24" t="str">
        <f t="shared" si="12"/>
        <v/>
      </c>
      <c r="AM30" s="24" t="str">
        <f t="shared" si="12"/>
        <v/>
      </c>
      <c r="AN30" s="24" t="str">
        <f t="shared" si="12"/>
        <v/>
      </c>
      <c r="AO30" t="str">
        <f>IF($C30="Phase",IF($AR30=0,"",IF(COUNT(E31:INDEX(E$6:E$156,25+$AR30))=0,"",MIN(E31:INDEX(E$6:E$156,25+$AR30)))),IF($E30="","",$E30))</f>
        <v/>
      </c>
      <c r="AP30" t="str">
        <f>IF($C30="Phase",IF($AO30="","",MAX(G31:INDEX(G$6:G$156,25+$AR30))),IF($G30="","",$G30))</f>
        <v/>
      </c>
      <c r="AQ30">
        <f>IF($C30="Phase",IF($AR30=0,0,IF(SUM(F31:INDEX(F$6:F$156,25+$AR30))=0,0,SUMPRODUCT(F31:INDEX(F$6:F$156,25+$AR30),H31:INDEX(H$6:H$156,25+$AR30))/SUM(F31:INDEX(F$6:F$156,25+$AR30)))),N($H30))</f>
        <v>0</v>
      </c>
      <c r="AR30">
        <f>IF($C30&lt;&gt;"Phase",0,IFERROR(MATCH("Phase",$C31:$C$156,0)-1,125))</f>
        <v>0</v>
      </c>
      <c r="AS30" t="str">
        <f t="shared" si="6"/>
        <v/>
      </c>
    </row>
    <row r="31" spans="1:45" x14ac:dyDescent="0.3">
      <c r="A31" s="19"/>
      <c r="B31" s="19"/>
      <c r="C31" s="19"/>
      <c r="D31" s="19"/>
      <c r="E31" s="20"/>
      <c r="F31" s="19"/>
      <c r="G31" s="21" t="str">
        <f>IF($C31="Phase",$AP31,IF(OR($E31="",$F31=""),"",IF(N($F31)&lt;=0,$E31,WORKDAY.INTL($E31,$F31-1,Settings!$B$9,Holidays!$A$4:$A$103))))</f>
        <v/>
      </c>
      <c r="H31" s="22"/>
      <c r="I31" s="23" t="str">
        <f t="shared" ca="1" si="2"/>
        <v/>
      </c>
      <c r="J31" s="19"/>
      <c r="K31" s="24" t="str">
        <f t="shared" si="10"/>
        <v/>
      </c>
      <c r="L31" s="24" t="str">
        <f t="shared" si="10"/>
        <v/>
      </c>
      <c r="M31" s="24" t="str">
        <f t="shared" si="10"/>
        <v/>
      </c>
      <c r="N31" s="24" t="str">
        <f t="shared" si="10"/>
        <v/>
      </c>
      <c r="O31" s="24" t="str">
        <f t="shared" si="10"/>
        <v/>
      </c>
      <c r="P31" s="24" t="str">
        <f t="shared" si="10"/>
        <v/>
      </c>
      <c r="Q31" s="24" t="str">
        <f t="shared" si="10"/>
        <v/>
      </c>
      <c r="R31" s="24" t="str">
        <f t="shared" si="10"/>
        <v/>
      </c>
      <c r="S31" s="24" t="str">
        <f t="shared" si="10"/>
        <v/>
      </c>
      <c r="T31" s="24" t="str">
        <f t="shared" si="10"/>
        <v/>
      </c>
      <c r="U31" s="24" t="str">
        <f t="shared" si="11"/>
        <v/>
      </c>
      <c r="V31" s="24" t="str">
        <f t="shared" si="11"/>
        <v/>
      </c>
      <c r="W31" s="24" t="str">
        <f t="shared" si="11"/>
        <v/>
      </c>
      <c r="X31" s="24" t="str">
        <f t="shared" si="11"/>
        <v/>
      </c>
      <c r="Y31" s="24" t="str">
        <f t="shared" si="11"/>
        <v/>
      </c>
      <c r="Z31" s="24" t="str">
        <f t="shared" si="11"/>
        <v/>
      </c>
      <c r="AA31" s="24" t="str">
        <f t="shared" si="11"/>
        <v/>
      </c>
      <c r="AB31" s="24" t="str">
        <f t="shared" si="11"/>
        <v/>
      </c>
      <c r="AC31" s="24" t="str">
        <f t="shared" si="11"/>
        <v/>
      </c>
      <c r="AD31" s="24" t="str">
        <f t="shared" si="11"/>
        <v/>
      </c>
      <c r="AE31" s="24" t="str">
        <f t="shared" si="12"/>
        <v/>
      </c>
      <c r="AF31" s="24" t="str">
        <f t="shared" si="12"/>
        <v/>
      </c>
      <c r="AG31" s="24" t="str">
        <f t="shared" si="12"/>
        <v/>
      </c>
      <c r="AH31" s="24" t="str">
        <f t="shared" si="12"/>
        <v/>
      </c>
      <c r="AI31" s="24" t="str">
        <f t="shared" si="12"/>
        <v/>
      </c>
      <c r="AJ31" s="24" t="str">
        <f t="shared" si="12"/>
        <v/>
      </c>
      <c r="AK31" s="24" t="str">
        <f t="shared" si="12"/>
        <v/>
      </c>
      <c r="AL31" s="24" t="str">
        <f t="shared" si="12"/>
        <v/>
      </c>
      <c r="AM31" s="24" t="str">
        <f t="shared" si="12"/>
        <v/>
      </c>
      <c r="AN31" s="24" t="str">
        <f t="shared" si="12"/>
        <v/>
      </c>
      <c r="AO31" t="str">
        <f>IF($C31="Phase",IF($AR31=0,"",IF(COUNT(E32:INDEX(E$6:E$156,26+$AR31))=0,"",MIN(E32:INDEX(E$6:E$156,26+$AR31)))),IF($E31="","",$E31))</f>
        <v/>
      </c>
      <c r="AP31" t="str">
        <f>IF($C31="Phase",IF($AO31="","",MAX(G32:INDEX(G$6:G$156,26+$AR31))),IF($G31="","",$G31))</f>
        <v/>
      </c>
      <c r="AQ31">
        <f>IF($C31="Phase",IF($AR31=0,0,IF(SUM(F32:INDEX(F$6:F$156,26+$AR31))=0,0,SUMPRODUCT(F32:INDEX(F$6:F$156,26+$AR31),H32:INDEX(H$6:H$156,26+$AR31))/SUM(F32:INDEX(F$6:F$156,26+$AR31)))),N($H31))</f>
        <v>0</v>
      </c>
      <c r="AR31">
        <f>IF($C31&lt;&gt;"Phase",0,IFERROR(MATCH("Phase",$C32:$C$156,0)-1,124))</f>
        <v>0</v>
      </c>
      <c r="AS31" t="str">
        <f t="shared" si="6"/>
        <v/>
      </c>
    </row>
    <row r="32" spans="1:45" x14ac:dyDescent="0.3">
      <c r="A32" s="19"/>
      <c r="B32" s="19"/>
      <c r="C32" s="19"/>
      <c r="D32" s="19"/>
      <c r="E32" s="20"/>
      <c r="F32" s="19"/>
      <c r="G32" s="21" t="str">
        <f>IF($C32="Phase",$AP32,IF(OR($E32="",$F32=""),"",IF(N($F32)&lt;=0,$E32,WORKDAY.INTL($E32,$F32-1,Settings!$B$9,Holidays!$A$4:$A$103))))</f>
        <v/>
      </c>
      <c r="H32" s="22"/>
      <c r="I32" s="23" t="str">
        <f t="shared" ca="1" si="2"/>
        <v/>
      </c>
      <c r="J32" s="19"/>
      <c r="K32" s="24" t="str">
        <f t="shared" si="10"/>
        <v/>
      </c>
      <c r="L32" s="24" t="str">
        <f t="shared" si="10"/>
        <v/>
      </c>
      <c r="M32" s="24" t="str">
        <f t="shared" si="10"/>
        <v/>
      </c>
      <c r="N32" s="24" t="str">
        <f t="shared" si="10"/>
        <v/>
      </c>
      <c r="O32" s="24" t="str">
        <f t="shared" si="10"/>
        <v/>
      </c>
      <c r="P32" s="24" t="str">
        <f t="shared" si="10"/>
        <v/>
      </c>
      <c r="Q32" s="24" t="str">
        <f t="shared" si="10"/>
        <v/>
      </c>
      <c r="R32" s="24" t="str">
        <f t="shared" si="10"/>
        <v/>
      </c>
      <c r="S32" s="24" t="str">
        <f t="shared" si="10"/>
        <v/>
      </c>
      <c r="T32" s="24" t="str">
        <f t="shared" si="10"/>
        <v/>
      </c>
      <c r="U32" s="24" t="str">
        <f t="shared" si="11"/>
        <v/>
      </c>
      <c r="V32" s="24" t="str">
        <f t="shared" si="11"/>
        <v/>
      </c>
      <c r="W32" s="24" t="str">
        <f t="shared" si="11"/>
        <v/>
      </c>
      <c r="X32" s="24" t="str">
        <f t="shared" si="11"/>
        <v/>
      </c>
      <c r="Y32" s="24" t="str">
        <f t="shared" si="11"/>
        <v/>
      </c>
      <c r="Z32" s="24" t="str">
        <f t="shared" si="11"/>
        <v/>
      </c>
      <c r="AA32" s="24" t="str">
        <f t="shared" si="11"/>
        <v/>
      </c>
      <c r="AB32" s="24" t="str">
        <f t="shared" si="11"/>
        <v/>
      </c>
      <c r="AC32" s="24" t="str">
        <f t="shared" si="11"/>
        <v/>
      </c>
      <c r="AD32" s="24" t="str">
        <f t="shared" si="11"/>
        <v/>
      </c>
      <c r="AE32" s="24" t="str">
        <f t="shared" si="12"/>
        <v/>
      </c>
      <c r="AF32" s="24" t="str">
        <f t="shared" si="12"/>
        <v/>
      </c>
      <c r="AG32" s="24" t="str">
        <f t="shared" si="12"/>
        <v/>
      </c>
      <c r="AH32" s="24" t="str">
        <f t="shared" si="12"/>
        <v/>
      </c>
      <c r="AI32" s="24" t="str">
        <f t="shared" si="12"/>
        <v/>
      </c>
      <c r="AJ32" s="24" t="str">
        <f t="shared" si="12"/>
        <v/>
      </c>
      <c r="AK32" s="24" t="str">
        <f t="shared" si="12"/>
        <v/>
      </c>
      <c r="AL32" s="24" t="str">
        <f t="shared" si="12"/>
        <v/>
      </c>
      <c r="AM32" s="24" t="str">
        <f t="shared" si="12"/>
        <v/>
      </c>
      <c r="AN32" s="24" t="str">
        <f t="shared" si="12"/>
        <v/>
      </c>
      <c r="AO32" t="str">
        <f>IF($C32="Phase",IF($AR32=0,"",IF(COUNT(E33:INDEX(E$6:E$156,27+$AR32))=0,"",MIN(E33:INDEX(E$6:E$156,27+$AR32)))),IF($E32="","",$E32))</f>
        <v/>
      </c>
      <c r="AP32" t="str">
        <f>IF($C32="Phase",IF($AO32="","",MAX(G33:INDEX(G$6:G$156,27+$AR32))),IF($G32="","",$G32))</f>
        <v/>
      </c>
      <c r="AQ32">
        <f>IF($C32="Phase",IF($AR32=0,0,IF(SUM(F33:INDEX(F$6:F$156,27+$AR32))=0,0,SUMPRODUCT(F33:INDEX(F$6:F$156,27+$AR32),H33:INDEX(H$6:H$156,27+$AR32))/SUM(F33:INDEX(F$6:F$156,27+$AR32)))),N($H32))</f>
        <v>0</v>
      </c>
      <c r="AR32">
        <f>IF($C32&lt;&gt;"Phase",0,IFERROR(MATCH("Phase",$C33:$C$156,0)-1,123))</f>
        <v>0</v>
      </c>
      <c r="AS32" t="str">
        <f t="shared" si="6"/>
        <v/>
      </c>
    </row>
    <row r="33" spans="1:45" x14ac:dyDescent="0.3">
      <c r="A33" s="19"/>
      <c r="B33" s="19"/>
      <c r="C33" s="19"/>
      <c r="D33" s="19"/>
      <c r="E33" s="20"/>
      <c r="F33" s="19"/>
      <c r="G33" s="21" t="str">
        <f>IF($C33="Phase",$AP33,IF(OR($E33="",$F33=""),"",IF(N($F33)&lt;=0,$E33,WORKDAY.INTL($E33,$F33-1,Settings!$B$9,Holidays!$A$4:$A$103))))</f>
        <v/>
      </c>
      <c r="H33" s="22"/>
      <c r="I33" s="23" t="str">
        <f t="shared" ca="1" si="2"/>
        <v/>
      </c>
      <c r="J33" s="19"/>
      <c r="K33" s="24" t="str">
        <f t="shared" si="10"/>
        <v/>
      </c>
      <c r="L33" s="24" t="str">
        <f t="shared" si="10"/>
        <v/>
      </c>
      <c r="M33" s="24" t="str">
        <f t="shared" si="10"/>
        <v/>
      </c>
      <c r="N33" s="24" t="str">
        <f t="shared" si="10"/>
        <v/>
      </c>
      <c r="O33" s="24" t="str">
        <f t="shared" si="10"/>
        <v/>
      </c>
      <c r="P33" s="24" t="str">
        <f t="shared" si="10"/>
        <v/>
      </c>
      <c r="Q33" s="24" t="str">
        <f t="shared" si="10"/>
        <v/>
      </c>
      <c r="R33" s="24" t="str">
        <f t="shared" si="10"/>
        <v/>
      </c>
      <c r="S33" s="24" t="str">
        <f t="shared" si="10"/>
        <v/>
      </c>
      <c r="T33" s="24" t="str">
        <f t="shared" si="10"/>
        <v/>
      </c>
      <c r="U33" s="24" t="str">
        <f t="shared" si="11"/>
        <v/>
      </c>
      <c r="V33" s="24" t="str">
        <f t="shared" si="11"/>
        <v/>
      </c>
      <c r="W33" s="24" t="str">
        <f t="shared" si="11"/>
        <v/>
      </c>
      <c r="X33" s="24" t="str">
        <f t="shared" si="11"/>
        <v/>
      </c>
      <c r="Y33" s="24" t="str">
        <f t="shared" si="11"/>
        <v/>
      </c>
      <c r="Z33" s="24" t="str">
        <f t="shared" si="11"/>
        <v/>
      </c>
      <c r="AA33" s="24" t="str">
        <f t="shared" si="11"/>
        <v/>
      </c>
      <c r="AB33" s="24" t="str">
        <f t="shared" si="11"/>
        <v/>
      </c>
      <c r="AC33" s="24" t="str">
        <f t="shared" si="11"/>
        <v/>
      </c>
      <c r="AD33" s="24" t="str">
        <f t="shared" si="11"/>
        <v/>
      </c>
      <c r="AE33" s="24" t="str">
        <f t="shared" si="12"/>
        <v/>
      </c>
      <c r="AF33" s="24" t="str">
        <f t="shared" si="12"/>
        <v/>
      </c>
      <c r="AG33" s="24" t="str">
        <f t="shared" si="12"/>
        <v/>
      </c>
      <c r="AH33" s="24" t="str">
        <f t="shared" si="12"/>
        <v/>
      </c>
      <c r="AI33" s="24" t="str">
        <f t="shared" si="12"/>
        <v/>
      </c>
      <c r="AJ33" s="24" t="str">
        <f t="shared" si="12"/>
        <v/>
      </c>
      <c r="AK33" s="24" t="str">
        <f t="shared" si="12"/>
        <v/>
      </c>
      <c r="AL33" s="24" t="str">
        <f t="shared" si="12"/>
        <v/>
      </c>
      <c r="AM33" s="24" t="str">
        <f t="shared" si="12"/>
        <v/>
      </c>
      <c r="AN33" s="24" t="str">
        <f t="shared" si="12"/>
        <v/>
      </c>
      <c r="AO33" t="str">
        <f>IF($C33="Phase",IF($AR33=0,"",IF(COUNT(E34:INDEX(E$6:E$156,28+$AR33))=0,"",MIN(E34:INDEX(E$6:E$156,28+$AR33)))),IF($E33="","",$E33))</f>
        <v/>
      </c>
      <c r="AP33" t="str">
        <f>IF($C33="Phase",IF($AO33="","",MAX(G34:INDEX(G$6:G$156,28+$AR33))),IF($G33="","",$G33))</f>
        <v/>
      </c>
      <c r="AQ33">
        <f>IF($C33="Phase",IF($AR33=0,0,IF(SUM(F34:INDEX(F$6:F$156,28+$AR33))=0,0,SUMPRODUCT(F34:INDEX(F$6:F$156,28+$AR33),H34:INDEX(H$6:H$156,28+$AR33))/SUM(F34:INDEX(F$6:F$156,28+$AR33)))),N($H33))</f>
        <v>0</v>
      </c>
      <c r="AR33">
        <f>IF($C33&lt;&gt;"Phase",0,IFERROR(MATCH("Phase",$C34:$C$156,0)-1,122))</f>
        <v>0</v>
      </c>
      <c r="AS33" t="str">
        <f t="shared" si="6"/>
        <v/>
      </c>
    </row>
    <row r="34" spans="1:45" x14ac:dyDescent="0.3">
      <c r="A34" s="19"/>
      <c r="B34" s="19"/>
      <c r="C34" s="19"/>
      <c r="D34" s="19"/>
      <c r="E34" s="20"/>
      <c r="F34" s="19"/>
      <c r="G34" s="21" t="str">
        <f>IF($C34="Phase",$AP34,IF(OR($E34="",$F34=""),"",IF(N($F34)&lt;=0,$E34,WORKDAY.INTL($E34,$F34-1,Settings!$B$9,Holidays!$A$4:$A$103))))</f>
        <v/>
      </c>
      <c r="H34" s="22"/>
      <c r="I34" s="23" t="str">
        <f t="shared" ca="1" si="2"/>
        <v/>
      </c>
      <c r="J34" s="19"/>
      <c r="K34" s="24" t="str">
        <f t="shared" si="10"/>
        <v/>
      </c>
      <c r="L34" s="24" t="str">
        <f t="shared" si="10"/>
        <v/>
      </c>
      <c r="M34" s="24" t="str">
        <f t="shared" si="10"/>
        <v/>
      </c>
      <c r="N34" s="24" t="str">
        <f t="shared" si="10"/>
        <v/>
      </c>
      <c r="O34" s="24" t="str">
        <f t="shared" si="10"/>
        <v/>
      </c>
      <c r="P34" s="24" t="str">
        <f t="shared" si="10"/>
        <v/>
      </c>
      <c r="Q34" s="24" t="str">
        <f t="shared" si="10"/>
        <v/>
      </c>
      <c r="R34" s="24" t="str">
        <f t="shared" si="10"/>
        <v/>
      </c>
      <c r="S34" s="24" t="str">
        <f t="shared" si="10"/>
        <v/>
      </c>
      <c r="T34" s="24" t="str">
        <f t="shared" si="10"/>
        <v/>
      </c>
      <c r="U34" s="24" t="str">
        <f t="shared" si="11"/>
        <v/>
      </c>
      <c r="V34" s="24" t="str">
        <f t="shared" si="11"/>
        <v/>
      </c>
      <c r="W34" s="24" t="str">
        <f t="shared" si="11"/>
        <v/>
      </c>
      <c r="X34" s="24" t="str">
        <f t="shared" si="11"/>
        <v/>
      </c>
      <c r="Y34" s="24" t="str">
        <f t="shared" si="11"/>
        <v/>
      </c>
      <c r="Z34" s="24" t="str">
        <f t="shared" si="11"/>
        <v/>
      </c>
      <c r="AA34" s="24" t="str">
        <f t="shared" si="11"/>
        <v/>
      </c>
      <c r="AB34" s="24" t="str">
        <f t="shared" si="11"/>
        <v/>
      </c>
      <c r="AC34" s="24" t="str">
        <f t="shared" si="11"/>
        <v/>
      </c>
      <c r="AD34" s="24" t="str">
        <f t="shared" si="11"/>
        <v/>
      </c>
      <c r="AE34" s="24" t="str">
        <f t="shared" si="12"/>
        <v/>
      </c>
      <c r="AF34" s="24" t="str">
        <f t="shared" si="12"/>
        <v/>
      </c>
      <c r="AG34" s="24" t="str">
        <f t="shared" si="12"/>
        <v/>
      </c>
      <c r="AH34" s="24" t="str">
        <f t="shared" si="12"/>
        <v/>
      </c>
      <c r="AI34" s="24" t="str">
        <f t="shared" si="12"/>
        <v/>
      </c>
      <c r="AJ34" s="24" t="str">
        <f t="shared" si="12"/>
        <v/>
      </c>
      <c r="AK34" s="24" t="str">
        <f t="shared" si="12"/>
        <v/>
      </c>
      <c r="AL34" s="24" t="str">
        <f t="shared" si="12"/>
        <v/>
      </c>
      <c r="AM34" s="24" t="str">
        <f t="shared" si="12"/>
        <v/>
      </c>
      <c r="AN34" s="24" t="str">
        <f t="shared" si="12"/>
        <v/>
      </c>
      <c r="AO34" t="str">
        <f>IF($C34="Phase",IF($AR34=0,"",IF(COUNT(E35:INDEX(E$6:E$156,29+$AR34))=0,"",MIN(E35:INDEX(E$6:E$156,29+$AR34)))),IF($E34="","",$E34))</f>
        <v/>
      </c>
      <c r="AP34" t="str">
        <f>IF($C34="Phase",IF($AO34="","",MAX(G35:INDEX(G$6:G$156,29+$AR34))),IF($G34="","",$G34))</f>
        <v/>
      </c>
      <c r="AQ34">
        <f>IF($C34="Phase",IF($AR34=0,0,IF(SUM(F35:INDEX(F$6:F$156,29+$AR34))=0,0,SUMPRODUCT(F35:INDEX(F$6:F$156,29+$AR34),H35:INDEX(H$6:H$156,29+$AR34))/SUM(F35:INDEX(F$6:F$156,29+$AR34)))),N($H34))</f>
        <v>0</v>
      </c>
      <c r="AR34">
        <f>IF($C34&lt;&gt;"Phase",0,IFERROR(MATCH("Phase",$C35:$C$156,0)-1,121))</f>
        <v>0</v>
      </c>
      <c r="AS34" t="str">
        <f t="shared" si="6"/>
        <v/>
      </c>
    </row>
    <row r="35" spans="1:45" x14ac:dyDescent="0.3">
      <c r="A35" s="19"/>
      <c r="B35" s="19"/>
      <c r="C35" s="19"/>
      <c r="D35" s="19"/>
      <c r="E35" s="20"/>
      <c r="F35" s="19"/>
      <c r="G35" s="21" t="str">
        <f>IF($C35="Phase",$AP35,IF(OR($E35="",$F35=""),"",IF(N($F35)&lt;=0,$E35,WORKDAY.INTL($E35,$F35-1,Settings!$B$9,Holidays!$A$4:$A$103))))</f>
        <v/>
      </c>
      <c r="H35" s="22"/>
      <c r="I35" s="23" t="str">
        <f t="shared" ca="1" si="2"/>
        <v/>
      </c>
      <c r="J35" s="19"/>
      <c r="K35" s="24" t="str">
        <f t="shared" si="10"/>
        <v/>
      </c>
      <c r="L35" s="24" t="str">
        <f t="shared" si="10"/>
        <v/>
      </c>
      <c r="M35" s="24" t="str">
        <f t="shared" si="10"/>
        <v/>
      </c>
      <c r="N35" s="24" t="str">
        <f t="shared" si="10"/>
        <v/>
      </c>
      <c r="O35" s="24" t="str">
        <f t="shared" si="10"/>
        <v/>
      </c>
      <c r="P35" s="24" t="str">
        <f t="shared" si="10"/>
        <v/>
      </c>
      <c r="Q35" s="24" t="str">
        <f t="shared" si="10"/>
        <v/>
      </c>
      <c r="R35" s="24" t="str">
        <f t="shared" si="10"/>
        <v/>
      </c>
      <c r="S35" s="24" t="str">
        <f t="shared" si="10"/>
        <v/>
      </c>
      <c r="T35" s="24" t="str">
        <f t="shared" si="10"/>
        <v/>
      </c>
      <c r="U35" s="24" t="str">
        <f t="shared" si="11"/>
        <v/>
      </c>
      <c r="V35" s="24" t="str">
        <f t="shared" si="11"/>
        <v/>
      </c>
      <c r="W35" s="24" t="str">
        <f t="shared" si="11"/>
        <v/>
      </c>
      <c r="X35" s="24" t="str">
        <f t="shared" si="11"/>
        <v/>
      </c>
      <c r="Y35" s="24" t="str">
        <f t="shared" si="11"/>
        <v/>
      </c>
      <c r="Z35" s="24" t="str">
        <f t="shared" si="11"/>
        <v/>
      </c>
      <c r="AA35" s="24" t="str">
        <f t="shared" si="11"/>
        <v/>
      </c>
      <c r="AB35" s="24" t="str">
        <f t="shared" si="11"/>
        <v/>
      </c>
      <c r="AC35" s="24" t="str">
        <f t="shared" si="11"/>
        <v/>
      </c>
      <c r="AD35" s="24" t="str">
        <f t="shared" si="11"/>
        <v/>
      </c>
      <c r="AE35" s="24" t="str">
        <f t="shared" si="12"/>
        <v/>
      </c>
      <c r="AF35" s="24" t="str">
        <f t="shared" si="12"/>
        <v/>
      </c>
      <c r="AG35" s="24" t="str">
        <f t="shared" si="12"/>
        <v/>
      </c>
      <c r="AH35" s="24" t="str">
        <f t="shared" si="12"/>
        <v/>
      </c>
      <c r="AI35" s="24" t="str">
        <f t="shared" si="12"/>
        <v/>
      </c>
      <c r="AJ35" s="24" t="str">
        <f t="shared" si="12"/>
        <v/>
      </c>
      <c r="AK35" s="24" t="str">
        <f t="shared" si="12"/>
        <v/>
      </c>
      <c r="AL35" s="24" t="str">
        <f t="shared" si="12"/>
        <v/>
      </c>
      <c r="AM35" s="24" t="str">
        <f t="shared" si="12"/>
        <v/>
      </c>
      <c r="AN35" s="24" t="str">
        <f t="shared" si="12"/>
        <v/>
      </c>
      <c r="AO35" t="str">
        <f>IF($C35="Phase",IF($AR35=0,"",IF(COUNT(E36:INDEX(E$6:E$156,30+$AR35))=0,"",MIN(E36:INDEX(E$6:E$156,30+$AR35)))),IF($E35="","",$E35))</f>
        <v/>
      </c>
      <c r="AP35" t="str">
        <f>IF($C35="Phase",IF($AO35="","",MAX(G36:INDEX(G$6:G$156,30+$AR35))),IF($G35="","",$G35))</f>
        <v/>
      </c>
      <c r="AQ35">
        <f>IF($C35="Phase",IF($AR35=0,0,IF(SUM(F36:INDEX(F$6:F$156,30+$AR35))=0,0,SUMPRODUCT(F36:INDEX(F$6:F$156,30+$AR35),H36:INDEX(H$6:H$156,30+$AR35))/SUM(F36:INDEX(F$6:F$156,30+$AR35)))),N($H35))</f>
        <v>0</v>
      </c>
      <c r="AR35">
        <f>IF($C35&lt;&gt;"Phase",0,IFERROR(MATCH("Phase",$C36:$C$156,0)-1,120))</f>
        <v>0</v>
      </c>
      <c r="AS35" t="str">
        <f t="shared" si="6"/>
        <v/>
      </c>
    </row>
    <row r="36" spans="1:45" x14ac:dyDescent="0.3">
      <c r="A36" s="19"/>
      <c r="B36" s="19"/>
      <c r="C36" s="19"/>
      <c r="D36" s="19"/>
      <c r="E36" s="20"/>
      <c r="F36" s="19"/>
      <c r="G36" s="21" t="str">
        <f>IF($C36="Phase",$AP36,IF(OR($E36="",$F36=""),"",IF(N($F36)&lt;=0,$E36,WORKDAY.INTL($E36,$F36-1,Settings!$B$9,Holidays!$A$4:$A$103))))</f>
        <v/>
      </c>
      <c r="H36" s="22"/>
      <c r="I36" s="23" t="str">
        <f t="shared" ca="1" si="2"/>
        <v/>
      </c>
      <c r="J36" s="19"/>
      <c r="K36" s="24" t="str">
        <f t="shared" ref="K36:T45" si="13">IF(AND($C36="Milestone",$AP36&lt;&gt;""),IF(AND($AP36&gt;=K$5,$AP36&lt;K$5+$AO$3),"◆",""),"")</f>
        <v/>
      </c>
      <c r="L36" s="24" t="str">
        <f t="shared" si="13"/>
        <v/>
      </c>
      <c r="M36" s="24" t="str">
        <f t="shared" si="13"/>
        <v/>
      </c>
      <c r="N36" s="24" t="str">
        <f t="shared" si="13"/>
        <v/>
      </c>
      <c r="O36" s="24" t="str">
        <f t="shared" si="13"/>
        <v/>
      </c>
      <c r="P36" s="24" t="str">
        <f t="shared" si="13"/>
        <v/>
      </c>
      <c r="Q36" s="24" t="str">
        <f t="shared" si="13"/>
        <v/>
      </c>
      <c r="R36" s="24" t="str">
        <f t="shared" si="13"/>
        <v/>
      </c>
      <c r="S36" s="24" t="str">
        <f t="shared" si="13"/>
        <v/>
      </c>
      <c r="T36" s="24" t="str">
        <f t="shared" si="13"/>
        <v/>
      </c>
      <c r="U36" s="24" t="str">
        <f t="shared" ref="U36:AD45" si="14">IF(AND($C36="Milestone",$AP36&lt;&gt;""),IF(AND($AP36&gt;=U$5,$AP36&lt;U$5+$AO$3),"◆",""),"")</f>
        <v/>
      </c>
      <c r="V36" s="24" t="str">
        <f t="shared" si="14"/>
        <v/>
      </c>
      <c r="W36" s="24" t="str">
        <f t="shared" si="14"/>
        <v/>
      </c>
      <c r="X36" s="24" t="str">
        <f t="shared" si="14"/>
        <v/>
      </c>
      <c r="Y36" s="24" t="str">
        <f t="shared" si="14"/>
        <v/>
      </c>
      <c r="Z36" s="24" t="str">
        <f t="shared" si="14"/>
        <v/>
      </c>
      <c r="AA36" s="24" t="str">
        <f t="shared" si="14"/>
        <v/>
      </c>
      <c r="AB36" s="24" t="str">
        <f t="shared" si="14"/>
        <v/>
      </c>
      <c r="AC36" s="24" t="str">
        <f t="shared" si="14"/>
        <v/>
      </c>
      <c r="AD36" s="24" t="str">
        <f t="shared" si="14"/>
        <v/>
      </c>
      <c r="AE36" s="24" t="str">
        <f t="shared" ref="AE36:AN45" si="15">IF(AND($C36="Milestone",$AP36&lt;&gt;""),IF(AND($AP36&gt;=AE$5,$AP36&lt;AE$5+$AO$3),"◆",""),"")</f>
        <v/>
      </c>
      <c r="AF36" s="24" t="str">
        <f t="shared" si="15"/>
        <v/>
      </c>
      <c r="AG36" s="24" t="str">
        <f t="shared" si="15"/>
        <v/>
      </c>
      <c r="AH36" s="24" t="str">
        <f t="shared" si="15"/>
        <v/>
      </c>
      <c r="AI36" s="24" t="str">
        <f t="shared" si="15"/>
        <v/>
      </c>
      <c r="AJ36" s="24" t="str">
        <f t="shared" si="15"/>
        <v/>
      </c>
      <c r="AK36" s="24" t="str">
        <f t="shared" si="15"/>
        <v/>
      </c>
      <c r="AL36" s="24" t="str">
        <f t="shared" si="15"/>
        <v/>
      </c>
      <c r="AM36" s="24" t="str">
        <f t="shared" si="15"/>
        <v/>
      </c>
      <c r="AN36" s="24" t="str">
        <f t="shared" si="15"/>
        <v/>
      </c>
      <c r="AO36" t="str">
        <f>IF($C36="Phase",IF($AR36=0,"",IF(COUNT(E37:INDEX(E$6:E$156,31+$AR36))=0,"",MIN(E37:INDEX(E$6:E$156,31+$AR36)))),IF($E36="","",$E36))</f>
        <v/>
      </c>
      <c r="AP36" t="str">
        <f>IF($C36="Phase",IF($AO36="","",MAX(G37:INDEX(G$6:G$156,31+$AR36))),IF($G36="","",$G36))</f>
        <v/>
      </c>
      <c r="AQ36">
        <f>IF($C36="Phase",IF($AR36=0,0,IF(SUM(F37:INDEX(F$6:F$156,31+$AR36))=0,0,SUMPRODUCT(F37:INDEX(F$6:F$156,31+$AR36),H37:INDEX(H$6:H$156,31+$AR36))/SUM(F37:INDEX(F$6:F$156,31+$AR36)))),N($H36))</f>
        <v>0</v>
      </c>
      <c r="AR36">
        <f>IF($C36&lt;&gt;"Phase",0,IFERROR(MATCH("Phase",$C37:$C$156,0)-1,119))</f>
        <v>0</v>
      </c>
      <c r="AS36" t="str">
        <f t="shared" si="6"/>
        <v/>
      </c>
    </row>
    <row r="37" spans="1:45" x14ac:dyDescent="0.3">
      <c r="A37" s="19"/>
      <c r="B37" s="19"/>
      <c r="C37" s="19"/>
      <c r="D37" s="19"/>
      <c r="E37" s="20"/>
      <c r="F37" s="19"/>
      <c r="G37" s="21" t="str">
        <f>IF($C37="Phase",$AP37,IF(OR($E37="",$F37=""),"",IF(N($F37)&lt;=0,$E37,WORKDAY.INTL($E37,$F37-1,Settings!$B$9,Holidays!$A$4:$A$103))))</f>
        <v/>
      </c>
      <c r="H37" s="22"/>
      <c r="I37" s="23" t="str">
        <f t="shared" ca="1" si="2"/>
        <v/>
      </c>
      <c r="J37" s="19"/>
      <c r="K37" s="24" t="str">
        <f t="shared" si="13"/>
        <v/>
      </c>
      <c r="L37" s="24" t="str">
        <f t="shared" si="13"/>
        <v/>
      </c>
      <c r="M37" s="24" t="str">
        <f t="shared" si="13"/>
        <v/>
      </c>
      <c r="N37" s="24" t="str">
        <f t="shared" si="13"/>
        <v/>
      </c>
      <c r="O37" s="24" t="str">
        <f t="shared" si="13"/>
        <v/>
      </c>
      <c r="P37" s="24" t="str">
        <f t="shared" si="13"/>
        <v/>
      </c>
      <c r="Q37" s="24" t="str">
        <f t="shared" si="13"/>
        <v/>
      </c>
      <c r="R37" s="24" t="str">
        <f t="shared" si="13"/>
        <v/>
      </c>
      <c r="S37" s="24" t="str">
        <f t="shared" si="13"/>
        <v/>
      </c>
      <c r="T37" s="24" t="str">
        <f t="shared" si="13"/>
        <v/>
      </c>
      <c r="U37" s="24" t="str">
        <f t="shared" si="14"/>
        <v/>
      </c>
      <c r="V37" s="24" t="str">
        <f t="shared" si="14"/>
        <v/>
      </c>
      <c r="W37" s="24" t="str">
        <f t="shared" si="14"/>
        <v/>
      </c>
      <c r="X37" s="24" t="str">
        <f t="shared" si="14"/>
        <v/>
      </c>
      <c r="Y37" s="24" t="str">
        <f t="shared" si="14"/>
        <v/>
      </c>
      <c r="Z37" s="24" t="str">
        <f t="shared" si="14"/>
        <v/>
      </c>
      <c r="AA37" s="24" t="str">
        <f t="shared" si="14"/>
        <v/>
      </c>
      <c r="AB37" s="24" t="str">
        <f t="shared" si="14"/>
        <v/>
      </c>
      <c r="AC37" s="24" t="str">
        <f t="shared" si="14"/>
        <v/>
      </c>
      <c r="AD37" s="24" t="str">
        <f t="shared" si="14"/>
        <v/>
      </c>
      <c r="AE37" s="24" t="str">
        <f t="shared" si="15"/>
        <v/>
      </c>
      <c r="AF37" s="24" t="str">
        <f t="shared" si="15"/>
        <v/>
      </c>
      <c r="AG37" s="24" t="str">
        <f t="shared" si="15"/>
        <v/>
      </c>
      <c r="AH37" s="24" t="str">
        <f t="shared" si="15"/>
        <v/>
      </c>
      <c r="AI37" s="24" t="str">
        <f t="shared" si="15"/>
        <v/>
      </c>
      <c r="AJ37" s="24" t="str">
        <f t="shared" si="15"/>
        <v/>
      </c>
      <c r="AK37" s="24" t="str">
        <f t="shared" si="15"/>
        <v/>
      </c>
      <c r="AL37" s="24" t="str">
        <f t="shared" si="15"/>
        <v/>
      </c>
      <c r="AM37" s="24" t="str">
        <f t="shared" si="15"/>
        <v/>
      </c>
      <c r="AN37" s="24" t="str">
        <f t="shared" si="15"/>
        <v/>
      </c>
      <c r="AO37" t="str">
        <f>IF($C37="Phase",IF($AR37=0,"",IF(COUNT(E38:INDEX(E$6:E$156,32+$AR37))=0,"",MIN(E38:INDEX(E$6:E$156,32+$AR37)))),IF($E37="","",$E37))</f>
        <v/>
      </c>
      <c r="AP37" t="str">
        <f>IF($C37="Phase",IF($AO37="","",MAX(G38:INDEX(G$6:G$156,32+$AR37))),IF($G37="","",$G37))</f>
        <v/>
      </c>
      <c r="AQ37">
        <f>IF($C37="Phase",IF($AR37=0,0,IF(SUM(F38:INDEX(F$6:F$156,32+$AR37))=0,0,SUMPRODUCT(F38:INDEX(F$6:F$156,32+$AR37),H38:INDEX(H$6:H$156,32+$AR37))/SUM(F38:INDEX(F$6:F$156,32+$AR37)))),N($H37))</f>
        <v>0</v>
      </c>
      <c r="AR37">
        <f>IF($C37&lt;&gt;"Phase",0,IFERROR(MATCH("Phase",$C38:$C$156,0)-1,118))</f>
        <v>0</v>
      </c>
      <c r="AS37" t="str">
        <f t="shared" si="6"/>
        <v/>
      </c>
    </row>
    <row r="38" spans="1:45" x14ac:dyDescent="0.3">
      <c r="A38" s="19"/>
      <c r="B38" s="19"/>
      <c r="C38" s="19"/>
      <c r="D38" s="19"/>
      <c r="E38" s="20"/>
      <c r="F38" s="19"/>
      <c r="G38" s="21" t="str">
        <f>IF($C38="Phase",$AP38,IF(OR($E38="",$F38=""),"",IF(N($F38)&lt;=0,$E38,WORKDAY.INTL($E38,$F38-1,Settings!$B$9,Holidays!$A$4:$A$103))))</f>
        <v/>
      </c>
      <c r="H38" s="22"/>
      <c r="I38" s="23" t="str">
        <f t="shared" ref="I38:I69" ca="1" si="16">IF($B38="","",IF($AP38="","Not planned",IF(N($AQ38)&gt;=1,"Done",IF($AP38&lt;TODAY(),"Late",IF($AO38&lt;=TODAY(),"In progress","Not started")))))</f>
        <v/>
      </c>
      <c r="J38" s="19"/>
      <c r="K38" s="24" t="str">
        <f t="shared" si="13"/>
        <v/>
      </c>
      <c r="L38" s="24" t="str">
        <f t="shared" si="13"/>
        <v/>
      </c>
      <c r="M38" s="24" t="str">
        <f t="shared" si="13"/>
        <v/>
      </c>
      <c r="N38" s="24" t="str">
        <f t="shared" si="13"/>
        <v/>
      </c>
      <c r="O38" s="24" t="str">
        <f t="shared" si="13"/>
        <v/>
      </c>
      <c r="P38" s="24" t="str">
        <f t="shared" si="13"/>
        <v/>
      </c>
      <c r="Q38" s="24" t="str">
        <f t="shared" si="13"/>
        <v/>
      </c>
      <c r="R38" s="24" t="str">
        <f t="shared" si="13"/>
        <v/>
      </c>
      <c r="S38" s="24" t="str">
        <f t="shared" si="13"/>
        <v/>
      </c>
      <c r="T38" s="24" t="str">
        <f t="shared" si="13"/>
        <v/>
      </c>
      <c r="U38" s="24" t="str">
        <f t="shared" si="14"/>
        <v/>
      </c>
      <c r="V38" s="24" t="str">
        <f t="shared" si="14"/>
        <v/>
      </c>
      <c r="W38" s="24" t="str">
        <f t="shared" si="14"/>
        <v/>
      </c>
      <c r="X38" s="24" t="str">
        <f t="shared" si="14"/>
        <v/>
      </c>
      <c r="Y38" s="24" t="str">
        <f t="shared" si="14"/>
        <v/>
      </c>
      <c r="Z38" s="24" t="str">
        <f t="shared" si="14"/>
        <v/>
      </c>
      <c r="AA38" s="24" t="str">
        <f t="shared" si="14"/>
        <v/>
      </c>
      <c r="AB38" s="24" t="str">
        <f t="shared" si="14"/>
        <v/>
      </c>
      <c r="AC38" s="24" t="str">
        <f t="shared" si="14"/>
        <v/>
      </c>
      <c r="AD38" s="24" t="str">
        <f t="shared" si="14"/>
        <v/>
      </c>
      <c r="AE38" s="24" t="str">
        <f t="shared" si="15"/>
        <v/>
      </c>
      <c r="AF38" s="24" t="str">
        <f t="shared" si="15"/>
        <v/>
      </c>
      <c r="AG38" s="24" t="str">
        <f t="shared" si="15"/>
        <v/>
      </c>
      <c r="AH38" s="24" t="str">
        <f t="shared" si="15"/>
        <v/>
      </c>
      <c r="AI38" s="24" t="str">
        <f t="shared" si="15"/>
        <v/>
      </c>
      <c r="AJ38" s="24" t="str">
        <f t="shared" si="15"/>
        <v/>
      </c>
      <c r="AK38" s="24" t="str">
        <f t="shared" si="15"/>
        <v/>
      </c>
      <c r="AL38" s="24" t="str">
        <f t="shared" si="15"/>
        <v/>
      </c>
      <c r="AM38" s="24" t="str">
        <f t="shared" si="15"/>
        <v/>
      </c>
      <c r="AN38" s="24" t="str">
        <f t="shared" si="15"/>
        <v/>
      </c>
      <c r="AO38" t="str">
        <f>IF($C38="Phase",IF($AR38=0,"",IF(COUNT(E39:INDEX(E$6:E$156,33+$AR38))=0,"",MIN(E39:INDEX(E$6:E$156,33+$AR38)))),IF($E38="","",$E38))</f>
        <v/>
      </c>
      <c r="AP38" t="str">
        <f>IF($C38="Phase",IF($AO38="","",MAX(G39:INDEX(G$6:G$156,33+$AR38))),IF($G38="","",$G38))</f>
        <v/>
      </c>
      <c r="AQ38">
        <f>IF($C38="Phase",IF($AR38=0,0,IF(SUM(F39:INDEX(F$6:F$156,33+$AR38))=0,0,SUMPRODUCT(F39:INDEX(F$6:F$156,33+$AR38),H39:INDEX(H$6:H$156,33+$AR38))/SUM(F39:INDEX(F$6:F$156,33+$AR38)))),N($H38))</f>
        <v>0</v>
      </c>
      <c r="AR38">
        <f>IF($C38&lt;&gt;"Phase",0,IFERROR(MATCH("Phase",$C39:$C$156,0)-1,117))</f>
        <v>0</v>
      </c>
      <c r="AS38" t="str">
        <f t="shared" ref="AS38:AS69" si="17">IF(AND($C38="Milestone",$AP38&lt;&gt;"",N($H38)&lt;1),$AP38,"")</f>
        <v/>
      </c>
    </row>
    <row r="39" spans="1:45" x14ac:dyDescent="0.3">
      <c r="A39" s="19"/>
      <c r="B39" s="19"/>
      <c r="C39" s="19"/>
      <c r="D39" s="19"/>
      <c r="E39" s="20"/>
      <c r="F39" s="19"/>
      <c r="G39" s="21" t="str">
        <f>IF($C39="Phase",$AP39,IF(OR($E39="",$F39=""),"",IF(N($F39)&lt;=0,$E39,WORKDAY.INTL($E39,$F39-1,Settings!$B$9,Holidays!$A$4:$A$103))))</f>
        <v/>
      </c>
      <c r="H39" s="22"/>
      <c r="I39" s="23" t="str">
        <f t="shared" ca="1" si="16"/>
        <v/>
      </c>
      <c r="J39" s="19"/>
      <c r="K39" s="24" t="str">
        <f t="shared" si="13"/>
        <v/>
      </c>
      <c r="L39" s="24" t="str">
        <f t="shared" si="13"/>
        <v/>
      </c>
      <c r="M39" s="24" t="str">
        <f t="shared" si="13"/>
        <v/>
      </c>
      <c r="N39" s="24" t="str">
        <f t="shared" si="13"/>
        <v/>
      </c>
      <c r="O39" s="24" t="str">
        <f t="shared" si="13"/>
        <v/>
      </c>
      <c r="P39" s="24" t="str">
        <f t="shared" si="13"/>
        <v/>
      </c>
      <c r="Q39" s="24" t="str">
        <f t="shared" si="13"/>
        <v/>
      </c>
      <c r="R39" s="24" t="str">
        <f t="shared" si="13"/>
        <v/>
      </c>
      <c r="S39" s="24" t="str">
        <f t="shared" si="13"/>
        <v/>
      </c>
      <c r="T39" s="24" t="str">
        <f t="shared" si="13"/>
        <v/>
      </c>
      <c r="U39" s="24" t="str">
        <f t="shared" si="14"/>
        <v/>
      </c>
      <c r="V39" s="24" t="str">
        <f t="shared" si="14"/>
        <v/>
      </c>
      <c r="W39" s="24" t="str">
        <f t="shared" si="14"/>
        <v/>
      </c>
      <c r="X39" s="24" t="str">
        <f t="shared" si="14"/>
        <v/>
      </c>
      <c r="Y39" s="24" t="str">
        <f t="shared" si="14"/>
        <v/>
      </c>
      <c r="Z39" s="24" t="str">
        <f t="shared" si="14"/>
        <v/>
      </c>
      <c r="AA39" s="24" t="str">
        <f t="shared" si="14"/>
        <v/>
      </c>
      <c r="AB39" s="24" t="str">
        <f t="shared" si="14"/>
        <v/>
      </c>
      <c r="AC39" s="24" t="str">
        <f t="shared" si="14"/>
        <v/>
      </c>
      <c r="AD39" s="24" t="str">
        <f t="shared" si="14"/>
        <v/>
      </c>
      <c r="AE39" s="24" t="str">
        <f t="shared" si="15"/>
        <v/>
      </c>
      <c r="AF39" s="24" t="str">
        <f t="shared" si="15"/>
        <v/>
      </c>
      <c r="AG39" s="24" t="str">
        <f t="shared" si="15"/>
        <v/>
      </c>
      <c r="AH39" s="24" t="str">
        <f t="shared" si="15"/>
        <v/>
      </c>
      <c r="AI39" s="24" t="str">
        <f t="shared" si="15"/>
        <v/>
      </c>
      <c r="AJ39" s="24" t="str">
        <f t="shared" si="15"/>
        <v/>
      </c>
      <c r="AK39" s="24" t="str">
        <f t="shared" si="15"/>
        <v/>
      </c>
      <c r="AL39" s="24" t="str">
        <f t="shared" si="15"/>
        <v/>
      </c>
      <c r="AM39" s="24" t="str">
        <f t="shared" si="15"/>
        <v/>
      </c>
      <c r="AN39" s="24" t="str">
        <f t="shared" si="15"/>
        <v/>
      </c>
      <c r="AO39" t="str">
        <f>IF($C39="Phase",IF($AR39=0,"",IF(COUNT(E40:INDEX(E$6:E$156,34+$AR39))=0,"",MIN(E40:INDEX(E$6:E$156,34+$AR39)))),IF($E39="","",$E39))</f>
        <v/>
      </c>
      <c r="AP39" t="str">
        <f>IF($C39="Phase",IF($AO39="","",MAX(G40:INDEX(G$6:G$156,34+$AR39))),IF($G39="","",$G39))</f>
        <v/>
      </c>
      <c r="AQ39">
        <f>IF($C39="Phase",IF($AR39=0,0,IF(SUM(F40:INDEX(F$6:F$156,34+$AR39))=0,0,SUMPRODUCT(F40:INDEX(F$6:F$156,34+$AR39),H40:INDEX(H$6:H$156,34+$AR39))/SUM(F40:INDEX(F$6:F$156,34+$AR39)))),N($H39))</f>
        <v>0</v>
      </c>
      <c r="AR39">
        <f>IF($C39&lt;&gt;"Phase",0,IFERROR(MATCH("Phase",$C40:$C$156,0)-1,116))</f>
        <v>0</v>
      </c>
      <c r="AS39" t="str">
        <f t="shared" si="17"/>
        <v/>
      </c>
    </row>
    <row r="40" spans="1:45" x14ac:dyDescent="0.3">
      <c r="A40" s="19"/>
      <c r="B40" s="19"/>
      <c r="C40" s="19"/>
      <c r="D40" s="19"/>
      <c r="E40" s="20"/>
      <c r="F40" s="19"/>
      <c r="G40" s="21" t="str">
        <f>IF($C40="Phase",$AP40,IF(OR($E40="",$F40=""),"",IF(N($F40)&lt;=0,$E40,WORKDAY.INTL($E40,$F40-1,Settings!$B$9,Holidays!$A$4:$A$103))))</f>
        <v/>
      </c>
      <c r="H40" s="22"/>
      <c r="I40" s="23" t="str">
        <f t="shared" ca="1" si="16"/>
        <v/>
      </c>
      <c r="J40" s="19"/>
      <c r="K40" s="24" t="str">
        <f t="shared" si="13"/>
        <v/>
      </c>
      <c r="L40" s="24" t="str">
        <f t="shared" si="13"/>
        <v/>
      </c>
      <c r="M40" s="24" t="str">
        <f t="shared" si="13"/>
        <v/>
      </c>
      <c r="N40" s="24" t="str">
        <f t="shared" si="13"/>
        <v/>
      </c>
      <c r="O40" s="24" t="str">
        <f t="shared" si="13"/>
        <v/>
      </c>
      <c r="P40" s="24" t="str">
        <f t="shared" si="13"/>
        <v/>
      </c>
      <c r="Q40" s="24" t="str">
        <f t="shared" si="13"/>
        <v/>
      </c>
      <c r="R40" s="24" t="str">
        <f t="shared" si="13"/>
        <v/>
      </c>
      <c r="S40" s="24" t="str">
        <f t="shared" si="13"/>
        <v/>
      </c>
      <c r="T40" s="24" t="str">
        <f t="shared" si="13"/>
        <v/>
      </c>
      <c r="U40" s="24" t="str">
        <f t="shared" si="14"/>
        <v/>
      </c>
      <c r="V40" s="24" t="str">
        <f t="shared" si="14"/>
        <v/>
      </c>
      <c r="W40" s="24" t="str">
        <f t="shared" si="14"/>
        <v/>
      </c>
      <c r="X40" s="24" t="str">
        <f t="shared" si="14"/>
        <v/>
      </c>
      <c r="Y40" s="24" t="str">
        <f t="shared" si="14"/>
        <v/>
      </c>
      <c r="Z40" s="24" t="str">
        <f t="shared" si="14"/>
        <v/>
      </c>
      <c r="AA40" s="24" t="str">
        <f t="shared" si="14"/>
        <v/>
      </c>
      <c r="AB40" s="24" t="str">
        <f t="shared" si="14"/>
        <v/>
      </c>
      <c r="AC40" s="24" t="str">
        <f t="shared" si="14"/>
        <v/>
      </c>
      <c r="AD40" s="24" t="str">
        <f t="shared" si="14"/>
        <v/>
      </c>
      <c r="AE40" s="24" t="str">
        <f t="shared" si="15"/>
        <v/>
      </c>
      <c r="AF40" s="24" t="str">
        <f t="shared" si="15"/>
        <v/>
      </c>
      <c r="AG40" s="24" t="str">
        <f t="shared" si="15"/>
        <v/>
      </c>
      <c r="AH40" s="24" t="str">
        <f t="shared" si="15"/>
        <v/>
      </c>
      <c r="AI40" s="24" t="str">
        <f t="shared" si="15"/>
        <v/>
      </c>
      <c r="AJ40" s="24" t="str">
        <f t="shared" si="15"/>
        <v/>
      </c>
      <c r="AK40" s="24" t="str">
        <f t="shared" si="15"/>
        <v/>
      </c>
      <c r="AL40" s="24" t="str">
        <f t="shared" si="15"/>
        <v/>
      </c>
      <c r="AM40" s="24" t="str">
        <f t="shared" si="15"/>
        <v/>
      </c>
      <c r="AN40" s="24" t="str">
        <f t="shared" si="15"/>
        <v/>
      </c>
      <c r="AO40" t="str">
        <f>IF($C40="Phase",IF($AR40=0,"",IF(COUNT(E41:INDEX(E$6:E$156,35+$AR40))=0,"",MIN(E41:INDEX(E$6:E$156,35+$AR40)))),IF($E40="","",$E40))</f>
        <v/>
      </c>
      <c r="AP40" t="str">
        <f>IF($C40="Phase",IF($AO40="","",MAX(G41:INDEX(G$6:G$156,35+$AR40))),IF($G40="","",$G40))</f>
        <v/>
      </c>
      <c r="AQ40">
        <f>IF($C40="Phase",IF($AR40=0,0,IF(SUM(F41:INDEX(F$6:F$156,35+$AR40))=0,0,SUMPRODUCT(F41:INDEX(F$6:F$156,35+$AR40),H41:INDEX(H$6:H$156,35+$AR40))/SUM(F41:INDEX(F$6:F$156,35+$AR40)))),N($H40))</f>
        <v>0</v>
      </c>
      <c r="AR40">
        <f>IF($C40&lt;&gt;"Phase",0,IFERROR(MATCH("Phase",$C41:$C$156,0)-1,115))</f>
        <v>0</v>
      </c>
      <c r="AS40" t="str">
        <f t="shared" si="17"/>
        <v/>
      </c>
    </row>
    <row r="41" spans="1:45" x14ac:dyDescent="0.3">
      <c r="A41" s="19"/>
      <c r="B41" s="19"/>
      <c r="C41" s="19"/>
      <c r="D41" s="19"/>
      <c r="E41" s="20"/>
      <c r="F41" s="19"/>
      <c r="G41" s="21" t="str">
        <f>IF($C41="Phase",$AP41,IF(OR($E41="",$F41=""),"",IF(N($F41)&lt;=0,$E41,WORKDAY.INTL($E41,$F41-1,Settings!$B$9,Holidays!$A$4:$A$103))))</f>
        <v/>
      </c>
      <c r="H41" s="22"/>
      <c r="I41" s="23" t="str">
        <f t="shared" ca="1" si="16"/>
        <v/>
      </c>
      <c r="J41" s="19"/>
      <c r="K41" s="24" t="str">
        <f t="shared" si="13"/>
        <v/>
      </c>
      <c r="L41" s="24" t="str">
        <f t="shared" si="13"/>
        <v/>
      </c>
      <c r="M41" s="24" t="str">
        <f t="shared" si="13"/>
        <v/>
      </c>
      <c r="N41" s="24" t="str">
        <f t="shared" si="13"/>
        <v/>
      </c>
      <c r="O41" s="24" t="str">
        <f t="shared" si="13"/>
        <v/>
      </c>
      <c r="P41" s="24" t="str">
        <f t="shared" si="13"/>
        <v/>
      </c>
      <c r="Q41" s="24" t="str">
        <f t="shared" si="13"/>
        <v/>
      </c>
      <c r="R41" s="24" t="str">
        <f t="shared" si="13"/>
        <v/>
      </c>
      <c r="S41" s="24" t="str">
        <f t="shared" si="13"/>
        <v/>
      </c>
      <c r="T41" s="24" t="str">
        <f t="shared" si="13"/>
        <v/>
      </c>
      <c r="U41" s="24" t="str">
        <f t="shared" si="14"/>
        <v/>
      </c>
      <c r="V41" s="24" t="str">
        <f t="shared" si="14"/>
        <v/>
      </c>
      <c r="W41" s="24" t="str">
        <f t="shared" si="14"/>
        <v/>
      </c>
      <c r="X41" s="24" t="str">
        <f t="shared" si="14"/>
        <v/>
      </c>
      <c r="Y41" s="24" t="str">
        <f t="shared" si="14"/>
        <v/>
      </c>
      <c r="Z41" s="24" t="str">
        <f t="shared" si="14"/>
        <v/>
      </c>
      <c r="AA41" s="24" t="str">
        <f t="shared" si="14"/>
        <v/>
      </c>
      <c r="AB41" s="24" t="str">
        <f t="shared" si="14"/>
        <v/>
      </c>
      <c r="AC41" s="24" t="str">
        <f t="shared" si="14"/>
        <v/>
      </c>
      <c r="AD41" s="24" t="str">
        <f t="shared" si="14"/>
        <v/>
      </c>
      <c r="AE41" s="24" t="str">
        <f t="shared" si="15"/>
        <v/>
      </c>
      <c r="AF41" s="24" t="str">
        <f t="shared" si="15"/>
        <v/>
      </c>
      <c r="AG41" s="24" t="str">
        <f t="shared" si="15"/>
        <v/>
      </c>
      <c r="AH41" s="24" t="str">
        <f t="shared" si="15"/>
        <v/>
      </c>
      <c r="AI41" s="24" t="str">
        <f t="shared" si="15"/>
        <v/>
      </c>
      <c r="AJ41" s="24" t="str">
        <f t="shared" si="15"/>
        <v/>
      </c>
      <c r="AK41" s="24" t="str">
        <f t="shared" si="15"/>
        <v/>
      </c>
      <c r="AL41" s="24" t="str">
        <f t="shared" si="15"/>
        <v/>
      </c>
      <c r="AM41" s="24" t="str">
        <f t="shared" si="15"/>
        <v/>
      </c>
      <c r="AN41" s="24" t="str">
        <f t="shared" si="15"/>
        <v/>
      </c>
      <c r="AO41" t="str">
        <f>IF($C41="Phase",IF($AR41=0,"",IF(COUNT(E42:INDEX(E$6:E$156,36+$AR41))=0,"",MIN(E42:INDEX(E$6:E$156,36+$AR41)))),IF($E41="","",$E41))</f>
        <v/>
      </c>
      <c r="AP41" t="str">
        <f>IF($C41="Phase",IF($AO41="","",MAX(G42:INDEX(G$6:G$156,36+$AR41))),IF($G41="","",$G41))</f>
        <v/>
      </c>
      <c r="AQ41">
        <f>IF($C41="Phase",IF($AR41=0,0,IF(SUM(F42:INDEX(F$6:F$156,36+$AR41))=0,0,SUMPRODUCT(F42:INDEX(F$6:F$156,36+$AR41),H42:INDEX(H$6:H$156,36+$AR41))/SUM(F42:INDEX(F$6:F$156,36+$AR41)))),N($H41))</f>
        <v>0</v>
      </c>
      <c r="AR41">
        <f>IF($C41&lt;&gt;"Phase",0,IFERROR(MATCH("Phase",$C42:$C$156,0)-1,114))</f>
        <v>0</v>
      </c>
      <c r="AS41" t="str">
        <f t="shared" si="17"/>
        <v/>
      </c>
    </row>
    <row r="42" spans="1:45" x14ac:dyDescent="0.3">
      <c r="A42" s="19"/>
      <c r="B42" s="19"/>
      <c r="C42" s="19"/>
      <c r="D42" s="19"/>
      <c r="E42" s="20"/>
      <c r="F42" s="19"/>
      <c r="G42" s="21" t="str">
        <f>IF($C42="Phase",$AP42,IF(OR($E42="",$F42=""),"",IF(N($F42)&lt;=0,$E42,WORKDAY.INTL($E42,$F42-1,Settings!$B$9,Holidays!$A$4:$A$103))))</f>
        <v/>
      </c>
      <c r="H42" s="22"/>
      <c r="I42" s="23" t="str">
        <f t="shared" ca="1" si="16"/>
        <v/>
      </c>
      <c r="J42" s="19"/>
      <c r="K42" s="24" t="str">
        <f t="shared" si="13"/>
        <v/>
      </c>
      <c r="L42" s="24" t="str">
        <f t="shared" si="13"/>
        <v/>
      </c>
      <c r="M42" s="24" t="str">
        <f t="shared" si="13"/>
        <v/>
      </c>
      <c r="N42" s="24" t="str">
        <f t="shared" si="13"/>
        <v/>
      </c>
      <c r="O42" s="24" t="str">
        <f t="shared" si="13"/>
        <v/>
      </c>
      <c r="P42" s="24" t="str">
        <f t="shared" si="13"/>
        <v/>
      </c>
      <c r="Q42" s="24" t="str">
        <f t="shared" si="13"/>
        <v/>
      </c>
      <c r="R42" s="24" t="str">
        <f t="shared" si="13"/>
        <v/>
      </c>
      <c r="S42" s="24" t="str">
        <f t="shared" si="13"/>
        <v/>
      </c>
      <c r="T42" s="24" t="str">
        <f t="shared" si="13"/>
        <v/>
      </c>
      <c r="U42" s="24" t="str">
        <f t="shared" si="14"/>
        <v/>
      </c>
      <c r="V42" s="24" t="str">
        <f t="shared" si="14"/>
        <v/>
      </c>
      <c r="W42" s="24" t="str">
        <f t="shared" si="14"/>
        <v/>
      </c>
      <c r="X42" s="24" t="str">
        <f t="shared" si="14"/>
        <v/>
      </c>
      <c r="Y42" s="24" t="str">
        <f t="shared" si="14"/>
        <v/>
      </c>
      <c r="Z42" s="24" t="str">
        <f t="shared" si="14"/>
        <v/>
      </c>
      <c r="AA42" s="24" t="str">
        <f t="shared" si="14"/>
        <v/>
      </c>
      <c r="AB42" s="24" t="str">
        <f t="shared" si="14"/>
        <v/>
      </c>
      <c r="AC42" s="24" t="str">
        <f t="shared" si="14"/>
        <v/>
      </c>
      <c r="AD42" s="24" t="str">
        <f t="shared" si="14"/>
        <v/>
      </c>
      <c r="AE42" s="24" t="str">
        <f t="shared" si="15"/>
        <v/>
      </c>
      <c r="AF42" s="24" t="str">
        <f t="shared" si="15"/>
        <v/>
      </c>
      <c r="AG42" s="24" t="str">
        <f t="shared" si="15"/>
        <v/>
      </c>
      <c r="AH42" s="24" t="str">
        <f t="shared" si="15"/>
        <v/>
      </c>
      <c r="AI42" s="24" t="str">
        <f t="shared" si="15"/>
        <v/>
      </c>
      <c r="AJ42" s="24" t="str">
        <f t="shared" si="15"/>
        <v/>
      </c>
      <c r="AK42" s="24" t="str">
        <f t="shared" si="15"/>
        <v/>
      </c>
      <c r="AL42" s="24" t="str">
        <f t="shared" si="15"/>
        <v/>
      </c>
      <c r="AM42" s="24" t="str">
        <f t="shared" si="15"/>
        <v/>
      </c>
      <c r="AN42" s="24" t="str">
        <f t="shared" si="15"/>
        <v/>
      </c>
      <c r="AO42" t="str">
        <f>IF($C42="Phase",IF($AR42=0,"",IF(COUNT(E43:INDEX(E$6:E$156,37+$AR42))=0,"",MIN(E43:INDEX(E$6:E$156,37+$AR42)))),IF($E42="","",$E42))</f>
        <v/>
      </c>
      <c r="AP42" t="str">
        <f>IF($C42="Phase",IF($AO42="","",MAX(G43:INDEX(G$6:G$156,37+$AR42))),IF($G42="","",$G42))</f>
        <v/>
      </c>
      <c r="AQ42">
        <f>IF($C42="Phase",IF($AR42=0,0,IF(SUM(F43:INDEX(F$6:F$156,37+$AR42))=0,0,SUMPRODUCT(F43:INDEX(F$6:F$156,37+$AR42),H43:INDEX(H$6:H$156,37+$AR42))/SUM(F43:INDEX(F$6:F$156,37+$AR42)))),N($H42))</f>
        <v>0</v>
      </c>
      <c r="AR42">
        <f>IF($C42&lt;&gt;"Phase",0,IFERROR(MATCH("Phase",$C43:$C$156,0)-1,113))</f>
        <v>0</v>
      </c>
      <c r="AS42" t="str">
        <f t="shared" si="17"/>
        <v/>
      </c>
    </row>
    <row r="43" spans="1:45" x14ac:dyDescent="0.3">
      <c r="A43" s="19"/>
      <c r="B43" s="19"/>
      <c r="C43" s="19"/>
      <c r="D43" s="19"/>
      <c r="E43" s="20"/>
      <c r="F43" s="19"/>
      <c r="G43" s="21" t="str">
        <f>IF($C43="Phase",$AP43,IF(OR($E43="",$F43=""),"",IF(N($F43)&lt;=0,$E43,WORKDAY.INTL($E43,$F43-1,Settings!$B$9,Holidays!$A$4:$A$103))))</f>
        <v/>
      </c>
      <c r="H43" s="22"/>
      <c r="I43" s="23" t="str">
        <f t="shared" ca="1" si="16"/>
        <v/>
      </c>
      <c r="J43" s="19"/>
      <c r="K43" s="24" t="str">
        <f t="shared" si="13"/>
        <v/>
      </c>
      <c r="L43" s="24" t="str">
        <f t="shared" si="13"/>
        <v/>
      </c>
      <c r="M43" s="24" t="str">
        <f t="shared" si="13"/>
        <v/>
      </c>
      <c r="N43" s="24" t="str">
        <f t="shared" si="13"/>
        <v/>
      </c>
      <c r="O43" s="24" t="str">
        <f t="shared" si="13"/>
        <v/>
      </c>
      <c r="P43" s="24" t="str">
        <f t="shared" si="13"/>
        <v/>
      </c>
      <c r="Q43" s="24" t="str">
        <f t="shared" si="13"/>
        <v/>
      </c>
      <c r="R43" s="24" t="str">
        <f t="shared" si="13"/>
        <v/>
      </c>
      <c r="S43" s="24" t="str">
        <f t="shared" si="13"/>
        <v/>
      </c>
      <c r="T43" s="24" t="str">
        <f t="shared" si="13"/>
        <v/>
      </c>
      <c r="U43" s="24" t="str">
        <f t="shared" si="14"/>
        <v/>
      </c>
      <c r="V43" s="24" t="str">
        <f t="shared" si="14"/>
        <v/>
      </c>
      <c r="W43" s="24" t="str">
        <f t="shared" si="14"/>
        <v/>
      </c>
      <c r="X43" s="24" t="str">
        <f t="shared" si="14"/>
        <v/>
      </c>
      <c r="Y43" s="24" t="str">
        <f t="shared" si="14"/>
        <v/>
      </c>
      <c r="Z43" s="24" t="str">
        <f t="shared" si="14"/>
        <v/>
      </c>
      <c r="AA43" s="24" t="str">
        <f t="shared" si="14"/>
        <v/>
      </c>
      <c r="AB43" s="24" t="str">
        <f t="shared" si="14"/>
        <v/>
      </c>
      <c r="AC43" s="24" t="str">
        <f t="shared" si="14"/>
        <v/>
      </c>
      <c r="AD43" s="24" t="str">
        <f t="shared" si="14"/>
        <v/>
      </c>
      <c r="AE43" s="24" t="str">
        <f t="shared" si="15"/>
        <v/>
      </c>
      <c r="AF43" s="24" t="str">
        <f t="shared" si="15"/>
        <v/>
      </c>
      <c r="AG43" s="24" t="str">
        <f t="shared" si="15"/>
        <v/>
      </c>
      <c r="AH43" s="24" t="str">
        <f t="shared" si="15"/>
        <v/>
      </c>
      <c r="AI43" s="24" t="str">
        <f t="shared" si="15"/>
        <v/>
      </c>
      <c r="AJ43" s="24" t="str">
        <f t="shared" si="15"/>
        <v/>
      </c>
      <c r="AK43" s="24" t="str">
        <f t="shared" si="15"/>
        <v/>
      </c>
      <c r="AL43" s="24" t="str">
        <f t="shared" si="15"/>
        <v/>
      </c>
      <c r="AM43" s="24" t="str">
        <f t="shared" si="15"/>
        <v/>
      </c>
      <c r="AN43" s="24" t="str">
        <f t="shared" si="15"/>
        <v/>
      </c>
      <c r="AO43" t="str">
        <f>IF($C43="Phase",IF($AR43=0,"",IF(COUNT(E44:INDEX(E$6:E$156,38+$AR43))=0,"",MIN(E44:INDEX(E$6:E$156,38+$AR43)))),IF($E43="","",$E43))</f>
        <v/>
      </c>
      <c r="AP43" t="str">
        <f>IF($C43="Phase",IF($AO43="","",MAX(G44:INDEX(G$6:G$156,38+$AR43))),IF($G43="","",$G43))</f>
        <v/>
      </c>
      <c r="AQ43">
        <f>IF($C43="Phase",IF($AR43=0,0,IF(SUM(F44:INDEX(F$6:F$156,38+$AR43))=0,0,SUMPRODUCT(F44:INDEX(F$6:F$156,38+$AR43),H44:INDEX(H$6:H$156,38+$AR43))/SUM(F44:INDEX(F$6:F$156,38+$AR43)))),N($H43))</f>
        <v>0</v>
      </c>
      <c r="AR43">
        <f>IF($C43&lt;&gt;"Phase",0,IFERROR(MATCH("Phase",$C44:$C$156,0)-1,112))</f>
        <v>0</v>
      </c>
      <c r="AS43" t="str">
        <f t="shared" si="17"/>
        <v/>
      </c>
    </row>
    <row r="44" spans="1:45" x14ac:dyDescent="0.3">
      <c r="A44" s="19"/>
      <c r="B44" s="19"/>
      <c r="C44" s="19"/>
      <c r="D44" s="19"/>
      <c r="E44" s="20"/>
      <c r="F44" s="19"/>
      <c r="G44" s="21" t="str">
        <f>IF($C44="Phase",$AP44,IF(OR($E44="",$F44=""),"",IF(N($F44)&lt;=0,$E44,WORKDAY.INTL($E44,$F44-1,Settings!$B$9,Holidays!$A$4:$A$103))))</f>
        <v/>
      </c>
      <c r="H44" s="22"/>
      <c r="I44" s="23" t="str">
        <f t="shared" ca="1" si="16"/>
        <v/>
      </c>
      <c r="J44" s="19"/>
      <c r="K44" s="24" t="str">
        <f t="shared" si="13"/>
        <v/>
      </c>
      <c r="L44" s="24" t="str">
        <f t="shared" si="13"/>
        <v/>
      </c>
      <c r="M44" s="24" t="str">
        <f t="shared" si="13"/>
        <v/>
      </c>
      <c r="N44" s="24" t="str">
        <f t="shared" si="13"/>
        <v/>
      </c>
      <c r="O44" s="24" t="str">
        <f t="shared" si="13"/>
        <v/>
      </c>
      <c r="P44" s="24" t="str">
        <f t="shared" si="13"/>
        <v/>
      </c>
      <c r="Q44" s="24" t="str">
        <f t="shared" si="13"/>
        <v/>
      </c>
      <c r="R44" s="24" t="str">
        <f t="shared" si="13"/>
        <v/>
      </c>
      <c r="S44" s="24" t="str">
        <f t="shared" si="13"/>
        <v/>
      </c>
      <c r="T44" s="24" t="str">
        <f t="shared" si="13"/>
        <v/>
      </c>
      <c r="U44" s="24" t="str">
        <f t="shared" si="14"/>
        <v/>
      </c>
      <c r="V44" s="24" t="str">
        <f t="shared" si="14"/>
        <v/>
      </c>
      <c r="W44" s="24" t="str">
        <f t="shared" si="14"/>
        <v/>
      </c>
      <c r="X44" s="24" t="str">
        <f t="shared" si="14"/>
        <v/>
      </c>
      <c r="Y44" s="24" t="str">
        <f t="shared" si="14"/>
        <v/>
      </c>
      <c r="Z44" s="24" t="str">
        <f t="shared" si="14"/>
        <v/>
      </c>
      <c r="AA44" s="24" t="str">
        <f t="shared" si="14"/>
        <v/>
      </c>
      <c r="AB44" s="24" t="str">
        <f t="shared" si="14"/>
        <v/>
      </c>
      <c r="AC44" s="24" t="str">
        <f t="shared" si="14"/>
        <v/>
      </c>
      <c r="AD44" s="24" t="str">
        <f t="shared" si="14"/>
        <v/>
      </c>
      <c r="AE44" s="24" t="str">
        <f t="shared" si="15"/>
        <v/>
      </c>
      <c r="AF44" s="24" t="str">
        <f t="shared" si="15"/>
        <v/>
      </c>
      <c r="AG44" s="24" t="str">
        <f t="shared" si="15"/>
        <v/>
      </c>
      <c r="AH44" s="24" t="str">
        <f t="shared" si="15"/>
        <v/>
      </c>
      <c r="AI44" s="24" t="str">
        <f t="shared" si="15"/>
        <v/>
      </c>
      <c r="AJ44" s="24" t="str">
        <f t="shared" si="15"/>
        <v/>
      </c>
      <c r="AK44" s="24" t="str">
        <f t="shared" si="15"/>
        <v/>
      </c>
      <c r="AL44" s="24" t="str">
        <f t="shared" si="15"/>
        <v/>
      </c>
      <c r="AM44" s="24" t="str">
        <f t="shared" si="15"/>
        <v/>
      </c>
      <c r="AN44" s="24" t="str">
        <f t="shared" si="15"/>
        <v/>
      </c>
      <c r="AO44" t="str">
        <f>IF($C44="Phase",IF($AR44=0,"",IF(COUNT(E45:INDEX(E$6:E$156,39+$AR44))=0,"",MIN(E45:INDEX(E$6:E$156,39+$AR44)))),IF($E44="","",$E44))</f>
        <v/>
      </c>
      <c r="AP44" t="str">
        <f>IF($C44="Phase",IF($AO44="","",MAX(G45:INDEX(G$6:G$156,39+$AR44))),IF($G44="","",$G44))</f>
        <v/>
      </c>
      <c r="AQ44">
        <f>IF($C44="Phase",IF($AR44=0,0,IF(SUM(F45:INDEX(F$6:F$156,39+$AR44))=0,0,SUMPRODUCT(F45:INDEX(F$6:F$156,39+$AR44),H45:INDEX(H$6:H$156,39+$AR44))/SUM(F45:INDEX(F$6:F$156,39+$AR44)))),N($H44))</f>
        <v>0</v>
      </c>
      <c r="AR44">
        <f>IF($C44&lt;&gt;"Phase",0,IFERROR(MATCH("Phase",$C45:$C$156,0)-1,111))</f>
        <v>0</v>
      </c>
      <c r="AS44" t="str">
        <f t="shared" si="17"/>
        <v/>
      </c>
    </row>
    <row r="45" spans="1:45" x14ac:dyDescent="0.3">
      <c r="A45" s="19"/>
      <c r="B45" s="19"/>
      <c r="C45" s="19"/>
      <c r="D45" s="19"/>
      <c r="E45" s="20"/>
      <c r="F45" s="19"/>
      <c r="G45" s="21" t="str">
        <f>IF($C45="Phase",$AP45,IF(OR($E45="",$F45=""),"",IF(N($F45)&lt;=0,$E45,WORKDAY.INTL($E45,$F45-1,Settings!$B$9,Holidays!$A$4:$A$103))))</f>
        <v/>
      </c>
      <c r="H45" s="22"/>
      <c r="I45" s="23" t="str">
        <f t="shared" ca="1" si="16"/>
        <v/>
      </c>
      <c r="J45" s="19"/>
      <c r="K45" s="24" t="str">
        <f t="shared" si="13"/>
        <v/>
      </c>
      <c r="L45" s="24" t="str">
        <f t="shared" si="13"/>
        <v/>
      </c>
      <c r="M45" s="24" t="str">
        <f t="shared" si="13"/>
        <v/>
      </c>
      <c r="N45" s="24" t="str">
        <f t="shared" si="13"/>
        <v/>
      </c>
      <c r="O45" s="24" t="str">
        <f t="shared" si="13"/>
        <v/>
      </c>
      <c r="P45" s="24" t="str">
        <f t="shared" si="13"/>
        <v/>
      </c>
      <c r="Q45" s="24" t="str">
        <f t="shared" si="13"/>
        <v/>
      </c>
      <c r="R45" s="24" t="str">
        <f t="shared" si="13"/>
        <v/>
      </c>
      <c r="S45" s="24" t="str">
        <f t="shared" si="13"/>
        <v/>
      </c>
      <c r="T45" s="24" t="str">
        <f t="shared" si="13"/>
        <v/>
      </c>
      <c r="U45" s="24" t="str">
        <f t="shared" si="14"/>
        <v/>
      </c>
      <c r="V45" s="24" t="str">
        <f t="shared" si="14"/>
        <v/>
      </c>
      <c r="W45" s="24" t="str">
        <f t="shared" si="14"/>
        <v/>
      </c>
      <c r="X45" s="24" t="str">
        <f t="shared" si="14"/>
        <v/>
      </c>
      <c r="Y45" s="24" t="str">
        <f t="shared" si="14"/>
        <v/>
      </c>
      <c r="Z45" s="24" t="str">
        <f t="shared" si="14"/>
        <v/>
      </c>
      <c r="AA45" s="24" t="str">
        <f t="shared" si="14"/>
        <v/>
      </c>
      <c r="AB45" s="24" t="str">
        <f t="shared" si="14"/>
        <v/>
      </c>
      <c r="AC45" s="24" t="str">
        <f t="shared" si="14"/>
        <v/>
      </c>
      <c r="AD45" s="24" t="str">
        <f t="shared" si="14"/>
        <v/>
      </c>
      <c r="AE45" s="24" t="str">
        <f t="shared" si="15"/>
        <v/>
      </c>
      <c r="AF45" s="24" t="str">
        <f t="shared" si="15"/>
        <v/>
      </c>
      <c r="AG45" s="24" t="str">
        <f t="shared" si="15"/>
        <v/>
      </c>
      <c r="AH45" s="24" t="str">
        <f t="shared" si="15"/>
        <v/>
      </c>
      <c r="AI45" s="24" t="str">
        <f t="shared" si="15"/>
        <v/>
      </c>
      <c r="AJ45" s="24" t="str">
        <f t="shared" si="15"/>
        <v/>
      </c>
      <c r="AK45" s="24" t="str">
        <f t="shared" si="15"/>
        <v/>
      </c>
      <c r="AL45" s="24" t="str">
        <f t="shared" si="15"/>
        <v/>
      </c>
      <c r="AM45" s="24" t="str">
        <f t="shared" si="15"/>
        <v/>
      </c>
      <c r="AN45" s="24" t="str">
        <f t="shared" si="15"/>
        <v/>
      </c>
      <c r="AO45" t="str">
        <f>IF($C45="Phase",IF($AR45=0,"",IF(COUNT(E46:INDEX(E$6:E$156,40+$AR45))=0,"",MIN(E46:INDEX(E$6:E$156,40+$AR45)))),IF($E45="","",$E45))</f>
        <v/>
      </c>
      <c r="AP45" t="str">
        <f>IF($C45="Phase",IF($AO45="","",MAX(G46:INDEX(G$6:G$156,40+$AR45))),IF($G45="","",$G45))</f>
        <v/>
      </c>
      <c r="AQ45">
        <f>IF($C45="Phase",IF($AR45=0,0,IF(SUM(F46:INDEX(F$6:F$156,40+$AR45))=0,0,SUMPRODUCT(F46:INDEX(F$6:F$156,40+$AR45),H46:INDEX(H$6:H$156,40+$AR45))/SUM(F46:INDEX(F$6:F$156,40+$AR45)))),N($H45))</f>
        <v>0</v>
      </c>
      <c r="AR45">
        <f>IF($C45&lt;&gt;"Phase",0,IFERROR(MATCH("Phase",$C46:$C$156,0)-1,110))</f>
        <v>0</v>
      </c>
      <c r="AS45" t="str">
        <f t="shared" si="17"/>
        <v/>
      </c>
    </row>
    <row r="46" spans="1:45" x14ac:dyDescent="0.3">
      <c r="A46" s="19"/>
      <c r="B46" s="19"/>
      <c r="C46" s="19"/>
      <c r="D46" s="19"/>
      <c r="E46" s="20"/>
      <c r="F46" s="19"/>
      <c r="G46" s="21" t="str">
        <f>IF($C46="Phase",$AP46,IF(OR($E46="",$F46=""),"",IF(N($F46)&lt;=0,$E46,WORKDAY.INTL($E46,$F46-1,Settings!$B$9,Holidays!$A$4:$A$103))))</f>
        <v/>
      </c>
      <c r="H46" s="22"/>
      <c r="I46" s="23" t="str">
        <f t="shared" ca="1" si="16"/>
        <v/>
      </c>
      <c r="J46" s="19"/>
      <c r="K46" s="24" t="str">
        <f t="shared" ref="K46:T55" si="18">IF(AND($C46="Milestone",$AP46&lt;&gt;""),IF(AND($AP46&gt;=K$5,$AP46&lt;K$5+$AO$3),"◆",""),"")</f>
        <v/>
      </c>
      <c r="L46" s="24" t="str">
        <f t="shared" si="18"/>
        <v/>
      </c>
      <c r="M46" s="24" t="str">
        <f t="shared" si="18"/>
        <v/>
      </c>
      <c r="N46" s="24" t="str">
        <f t="shared" si="18"/>
        <v/>
      </c>
      <c r="O46" s="24" t="str">
        <f t="shared" si="18"/>
        <v/>
      </c>
      <c r="P46" s="24" t="str">
        <f t="shared" si="18"/>
        <v/>
      </c>
      <c r="Q46" s="24" t="str">
        <f t="shared" si="18"/>
        <v/>
      </c>
      <c r="R46" s="24" t="str">
        <f t="shared" si="18"/>
        <v/>
      </c>
      <c r="S46" s="24" t="str">
        <f t="shared" si="18"/>
        <v/>
      </c>
      <c r="T46" s="24" t="str">
        <f t="shared" si="18"/>
        <v/>
      </c>
      <c r="U46" s="24" t="str">
        <f t="shared" ref="U46:AD55" si="19">IF(AND($C46="Milestone",$AP46&lt;&gt;""),IF(AND($AP46&gt;=U$5,$AP46&lt;U$5+$AO$3),"◆",""),"")</f>
        <v/>
      </c>
      <c r="V46" s="24" t="str">
        <f t="shared" si="19"/>
        <v/>
      </c>
      <c r="W46" s="24" t="str">
        <f t="shared" si="19"/>
        <v/>
      </c>
      <c r="X46" s="24" t="str">
        <f t="shared" si="19"/>
        <v/>
      </c>
      <c r="Y46" s="24" t="str">
        <f t="shared" si="19"/>
        <v/>
      </c>
      <c r="Z46" s="24" t="str">
        <f t="shared" si="19"/>
        <v/>
      </c>
      <c r="AA46" s="24" t="str">
        <f t="shared" si="19"/>
        <v/>
      </c>
      <c r="AB46" s="24" t="str">
        <f t="shared" si="19"/>
        <v/>
      </c>
      <c r="AC46" s="24" t="str">
        <f t="shared" si="19"/>
        <v/>
      </c>
      <c r="AD46" s="24" t="str">
        <f t="shared" si="19"/>
        <v/>
      </c>
      <c r="AE46" s="24" t="str">
        <f t="shared" ref="AE46:AN55" si="20">IF(AND($C46="Milestone",$AP46&lt;&gt;""),IF(AND($AP46&gt;=AE$5,$AP46&lt;AE$5+$AO$3),"◆",""),"")</f>
        <v/>
      </c>
      <c r="AF46" s="24" t="str">
        <f t="shared" si="20"/>
        <v/>
      </c>
      <c r="AG46" s="24" t="str">
        <f t="shared" si="20"/>
        <v/>
      </c>
      <c r="AH46" s="24" t="str">
        <f t="shared" si="20"/>
        <v/>
      </c>
      <c r="AI46" s="24" t="str">
        <f t="shared" si="20"/>
        <v/>
      </c>
      <c r="AJ46" s="24" t="str">
        <f t="shared" si="20"/>
        <v/>
      </c>
      <c r="AK46" s="24" t="str">
        <f t="shared" si="20"/>
        <v/>
      </c>
      <c r="AL46" s="24" t="str">
        <f t="shared" si="20"/>
        <v/>
      </c>
      <c r="AM46" s="24" t="str">
        <f t="shared" si="20"/>
        <v/>
      </c>
      <c r="AN46" s="24" t="str">
        <f t="shared" si="20"/>
        <v/>
      </c>
      <c r="AO46" t="str">
        <f>IF($C46="Phase",IF($AR46=0,"",IF(COUNT(E47:INDEX(E$6:E$156,41+$AR46))=0,"",MIN(E47:INDEX(E$6:E$156,41+$AR46)))),IF($E46="","",$E46))</f>
        <v/>
      </c>
      <c r="AP46" t="str">
        <f>IF($C46="Phase",IF($AO46="","",MAX(G47:INDEX(G$6:G$156,41+$AR46))),IF($G46="","",$G46))</f>
        <v/>
      </c>
      <c r="AQ46">
        <f>IF($C46="Phase",IF($AR46=0,0,IF(SUM(F47:INDEX(F$6:F$156,41+$AR46))=0,0,SUMPRODUCT(F47:INDEX(F$6:F$156,41+$AR46),H47:INDEX(H$6:H$156,41+$AR46))/SUM(F47:INDEX(F$6:F$156,41+$AR46)))),N($H46))</f>
        <v>0</v>
      </c>
      <c r="AR46">
        <f>IF($C46&lt;&gt;"Phase",0,IFERROR(MATCH("Phase",$C47:$C$156,0)-1,109))</f>
        <v>0</v>
      </c>
      <c r="AS46" t="str">
        <f t="shared" si="17"/>
        <v/>
      </c>
    </row>
    <row r="47" spans="1:45" x14ac:dyDescent="0.3">
      <c r="A47" s="19"/>
      <c r="B47" s="19"/>
      <c r="C47" s="19"/>
      <c r="D47" s="19"/>
      <c r="E47" s="20"/>
      <c r="F47" s="19"/>
      <c r="G47" s="21" t="str">
        <f>IF($C47="Phase",$AP47,IF(OR($E47="",$F47=""),"",IF(N($F47)&lt;=0,$E47,WORKDAY.INTL($E47,$F47-1,Settings!$B$9,Holidays!$A$4:$A$103))))</f>
        <v/>
      </c>
      <c r="H47" s="22"/>
      <c r="I47" s="23" t="str">
        <f t="shared" ca="1" si="16"/>
        <v/>
      </c>
      <c r="J47" s="19"/>
      <c r="K47" s="24" t="str">
        <f t="shared" si="18"/>
        <v/>
      </c>
      <c r="L47" s="24" t="str">
        <f t="shared" si="18"/>
        <v/>
      </c>
      <c r="M47" s="24" t="str">
        <f t="shared" si="18"/>
        <v/>
      </c>
      <c r="N47" s="24" t="str">
        <f t="shared" si="18"/>
        <v/>
      </c>
      <c r="O47" s="24" t="str">
        <f t="shared" si="18"/>
        <v/>
      </c>
      <c r="P47" s="24" t="str">
        <f t="shared" si="18"/>
        <v/>
      </c>
      <c r="Q47" s="24" t="str">
        <f t="shared" si="18"/>
        <v/>
      </c>
      <c r="R47" s="24" t="str">
        <f t="shared" si="18"/>
        <v/>
      </c>
      <c r="S47" s="24" t="str">
        <f t="shared" si="18"/>
        <v/>
      </c>
      <c r="T47" s="24" t="str">
        <f t="shared" si="18"/>
        <v/>
      </c>
      <c r="U47" s="24" t="str">
        <f t="shared" si="19"/>
        <v/>
      </c>
      <c r="V47" s="24" t="str">
        <f t="shared" si="19"/>
        <v/>
      </c>
      <c r="W47" s="24" t="str">
        <f t="shared" si="19"/>
        <v/>
      </c>
      <c r="X47" s="24" t="str">
        <f t="shared" si="19"/>
        <v/>
      </c>
      <c r="Y47" s="24" t="str">
        <f t="shared" si="19"/>
        <v/>
      </c>
      <c r="Z47" s="24" t="str">
        <f t="shared" si="19"/>
        <v/>
      </c>
      <c r="AA47" s="24" t="str">
        <f t="shared" si="19"/>
        <v/>
      </c>
      <c r="AB47" s="24" t="str">
        <f t="shared" si="19"/>
        <v/>
      </c>
      <c r="AC47" s="24" t="str">
        <f t="shared" si="19"/>
        <v/>
      </c>
      <c r="AD47" s="24" t="str">
        <f t="shared" si="19"/>
        <v/>
      </c>
      <c r="AE47" s="24" t="str">
        <f t="shared" si="20"/>
        <v/>
      </c>
      <c r="AF47" s="24" t="str">
        <f t="shared" si="20"/>
        <v/>
      </c>
      <c r="AG47" s="24" t="str">
        <f t="shared" si="20"/>
        <v/>
      </c>
      <c r="AH47" s="24" t="str">
        <f t="shared" si="20"/>
        <v/>
      </c>
      <c r="AI47" s="24" t="str">
        <f t="shared" si="20"/>
        <v/>
      </c>
      <c r="AJ47" s="24" t="str">
        <f t="shared" si="20"/>
        <v/>
      </c>
      <c r="AK47" s="24" t="str">
        <f t="shared" si="20"/>
        <v/>
      </c>
      <c r="AL47" s="24" t="str">
        <f t="shared" si="20"/>
        <v/>
      </c>
      <c r="AM47" s="24" t="str">
        <f t="shared" si="20"/>
        <v/>
      </c>
      <c r="AN47" s="24" t="str">
        <f t="shared" si="20"/>
        <v/>
      </c>
      <c r="AO47" t="str">
        <f>IF($C47="Phase",IF($AR47=0,"",IF(COUNT(E48:INDEX(E$6:E$156,42+$AR47))=0,"",MIN(E48:INDEX(E$6:E$156,42+$AR47)))),IF($E47="","",$E47))</f>
        <v/>
      </c>
      <c r="AP47" t="str">
        <f>IF($C47="Phase",IF($AO47="","",MAX(G48:INDEX(G$6:G$156,42+$AR47))),IF($G47="","",$G47))</f>
        <v/>
      </c>
      <c r="AQ47">
        <f>IF($C47="Phase",IF($AR47=0,0,IF(SUM(F48:INDEX(F$6:F$156,42+$AR47))=0,0,SUMPRODUCT(F48:INDEX(F$6:F$156,42+$AR47),H48:INDEX(H$6:H$156,42+$AR47))/SUM(F48:INDEX(F$6:F$156,42+$AR47)))),N($H47))</f>
        <v>0</v>
      </c>
      <c r="AR47">
        <f>IF($C47&lt;&gt;"Phase",0,IFERROR(MATCH("Phase",$C48:$C$156,0)-1,108))</f>
        <v>0</v>
      </c>
      <c r="AS47" t="str">
        <f t="shared" si="17"/>
        <v/>
      </c>
    </row>
    <row r="48" spans="1:45" x14ac:dyDescent="0.3">
      <c r="A48" s="19"/>
      <c r="B48" s="19"/>
      <c r="C48" s="19"/>
      <c r="D48" s="19"/>
      <c r="E48" s="20"/>
      <c r="F48" s="19"/>
      <c r="G48" s="21" t="str">
        <f>IF($C48="Phase",$AP48,IF(OR($E48="",$F48=""),"",IF(N($F48)&lt;=0,$E48,WORKDAY.INTL($E48,$F48-1,Settings!$B$9,Holidays!$A$4:$A$103))))</f>
        <v/>
      </c>
      <c r="H48" s="22"/>
      <c r="I48" s="23" t="str">
        <f t="shared" ca="1" si="16"/>
        <v/>
      </c>
      <c r="J48" s="19"/>
      <c r="K48" s="24" t="str">
        <f t="shared" si="18"/>
        <v/>
      </c>
      <c r="L48" s="24" t="str">
        <f t="shared" si="18"/>
        <v/>
      </c>
      <c r="M48" s="24" t="str">
        <f t="shared" si="18"/>
        <v/>
      </c>
      <c r="N48" s="24" t="str">
        <f t="shared" si="18"/>
        <v/>
      </c>
      <c r="O48" s="24" t="str">
        <f t="shared" si="18"/>
        <v/>
      </c>
      <c r="P48" s="24" t="str">
        <f t="shared" si="18"/>
        <v/>
      </c>
      <c r="Q48" s="24" t="str">
        <f t="shared" si="18"/>
        <v/>
      </c>
      <c r="R48" s="24" t="str">
        <f t="shared" si="18"/>
        <v/>
      </c>
      <c r="S48" s="24" t="str">
        <f t="shared" si="18"/>
        <v/>
      </c>
      <c r="T48" s="24" t="str">
        <f t="shared" si="18"/>
        <v/>
      </c>
      <c r="U48" s="24" t="str">
        <f t="shared" si="19"/>
        <v/>
      </c>
      <c r="V48" s="24" t="str">
        <f t="shared" si="19"/>
        <v/>
      </c>
      <c r="W48" s="24" t="str">
        <f t="shared" si="19"/>
        <v/>
      </c>
      <c r="X48" s="24" t="str">
        <f t="shared" si="19"/>
        <v/>
      </c>
      <c r="Y48" s="24" t="str">
        <f t="shared" si="19"/>
        <v/>
      </c>
      <c r="Z48" s="24" t="str">
        <f t="shared" si="19"/>
        <v/>
      </c>
      <c r="AA48" s="24" t="str">
        <f t="shared" si="19"/>
        <v/>
      </c>
      <c r="AB48" s="24" t="str">
        <f t="shared" si="19"/>
        <v/>
      </c>
      <c r="AC48" s="24" t="str">
        <f t="shared" si="19"/>
        <v/>
      </c>
      <c r="AD48" s="24" t="str">
        <f t="shared" si="19"/>
        <v/>
      </c>
      <c r="AE48" s="24" t="str">
        <f t="shared" si="20"/>
        <v/>
      </c>
      <c r="AF48" s="24" t="str">
        <f t="shared" si="20"/>
        <v/>
      </c>
      <c r="AG48" s="24" t="str">
        <f t="shared" si="20"/>
        <v/>
      </c>
      <c r="AH48" s="24" t="str">
        <f t="shared" si="20"/>
        <v/>
      </c>
      <c r="AI48" s="24" t="str">
        <f t="shared" si="20"/>
        <v/>
      </c>
      <c r="AJ48" s="24" t="str">
        <f t="shared" si="20"/>
        <v/>
      </c>
      <c r="AK48" s="24" t="str">
        <f t="shared" si="20"/>
        <v/>
      </c>
      <c r="AL48" s="24" t="str">
        <f t="shared" si="20"/>
        <v/>
      </c>
      <c r="AM48" s="24" t="str">
        <f t="shared" si="20"/>
        <v/>
      </c>
      <c r="AN48" s="24" t="str">
        <f t="shared" si="20"/>
        <v/>
      </c>
      <c r="AO48" t="str">
        <f>IF($C48="Phase",IF($AR48=0,"",IF(COUNT(E49:INDEX(E$6:E$156,43+$AR48))=0,"",MIN(E49:INDEX(E$6:E$156,43+$AR48)))),IF($E48="","",$E48))</f>
        <v/>
      </c>
      <c r="AP48" t="str">
        <f>IF($C48="Phase",IF($AO48="","",MAX(G49:INDEX(G$6:G$156,43+$AR48))),IF($G48="","",$G48))</f>
        <v/>
      </c>
      <c r="AQ48">
        <f>IF($C48="Phase",IF($AR48=0,0,IF(SUM(F49:INDEX(F$6:F$156,43+$AR48))=0,0,SUMPRODUCT(F49:INDEX(F$6:F$156,43+$AR48),H49:INDEX(H$6:H$156,43+$AR48))/SUM(F49:INDEX(F$6:F$156,43+$AR48)))),N($H48))</f>
        <v>0</v>
      </c>
      <c r="AR48">
        <f>IF($C48&lt;&gt;"Phase",0,IFERROR(MATCH("Phase",$C49:$C$156,0)-1,107))</f>
        <v>0</v>
      </c>
      <c r="AS48" t="str">
        <f t="shared" si="17"/>
        <v/>
      </c>
    </row>
    <row r="49" spans="1:45" x14ac:dyDescent="0.3">
      <c r="A49" s="19"/>
      <c r="B49" s="19"/>
      <c r="C49" s="19"/>
      <c r="D49" s="19"/>
      <c r="E49" s="20"/>
      <c r="F49" s="19"/>
      <c r="G49" s="21" t="str">
        <f>IF($C49="Phase",$AP49,IF(OR($E49="",$F49=""),"",IF(N($F49)&lt;=0,$E49,WORKDAY.INTL($E49,$F49-1,Settings!$B$9,Holidays!$A$4:$A$103))))</f>
        <v/>
      </c>
      <c r="H49" s="22"/>
      <c r="I49" s="23" t="str">
        <f t="shared" ca="1" si="16"/>
        <v/>
      </c>
      <c r="J49" s="19"/>
      <c r="K49" s="24" t="str">
        <f t="shared" si="18"/>
        <v/>
      </c>
      <c r="L49" s="24" t="str">
        <f t="shared" si="18"/>
        <v/>
      </c>
      <c r="M49" s="24" t="str">
        <f t="shared" si="18"/>
        <v/>
      </c>
      <c r="N49" s="24" t="str">
        <f t="shared" si="18"/>
        <v/>
      </c>
      <c r="O49" s="24" t="str">
        <f t="shared" si="18"/>
        <v/>
      </c>
      <c r="P49" s="24" t="str">
        <f t="shared" si="18"/>
        <v/>
      </c>
      <c r="Q49" s="24" t="str">
        <f t="shared" si="18"/>
        <v/>
      </c>
      <c r="R49" s="24" t="str">
        <f t="shared" si="18"/>
        <v/>
      </c>
      <c r="S49" s="24" t="str">
        <f t="shared" si="18"/>
        <v/>
      </c>
      <c r="T49" s="24" t="str">
        <f t="shared" si="18"/>
        <v/>
      </c>
      <c r="U49" s="24" t="str">
        <f t="shared" si="19"/>
        <v/>
      </c>
      <c r="V49" s="24" t="str">
        <f t="shared" si="19"/>
        <v/>
      </c>
      <c r="W49" s="24" t="str">
        <f t="shared" si="19"/>
        <v/>
      </c>
      <c r="X49" s="24" t="str">
        <f t="shared" si="19"/>
        <v/>
      </c>
      <c r="Y49" s="24" t="str">
        <f t="shared" si="19"/>
        <v/>
      </c>
      <c r="Z49" s="24" t="str">
        <f t="shared" si="19"/>
        <v/>
      </c>
      <c r="AA49" s="24" t="str">
        <f t="shared" si="19"/>
        <v/>
      </c>
      <c r="AB49" s="24" t="str">
        <f t="shared" si="19"/>
        <v/>
      </c>
      <c r="AC49" s="24" t="str">
        <f t="shared" si="19"/>
        <v/>
      </c>
      <c r="AD49" s="24" t="str">
        <f t="shared" si="19"/>
        <v/>
      </c>
      <c r="AE49" s="24" t="str">
        <f t="shared" si="20"/>
        <v/>
      </c>
      <c r="AF49" s="24" t="str">
        <f t="shared" si="20"/>
        <v/>
      </c>
      <c r="AG49" s="24" t="str">
        <f t="shared" si="20"/>
        <v/>
      </c>
      <c r="AH49" s="24" t="str">
        <f t="shared" si="20"/>
        <v/>
      </c>
      <c r="AI49" s="24" t="str">
        <f t="shared" si="20"/>
        <v/>
      </c>
      <c r="AJ49" s="24" t="str">
        <f t="shared" si="20"/>
        <v/>
      </c>
      <c r="AK49" s="24" t="str">
        <f t="shared" si="20"/>
        <v/>
      </c>
      <c r="AL49" s="24" t="str">
        <f t="shared" si="20"/>
        <v/>
      </c>
      <c r="AM49" s="24" t="str">
        <f t="shared" si="20"/>
        <v/>
      </c>
      <c r="AN49" s="24" t="str">
        <f t="shared" si="20"/>
        <v/>
      </c>
      <c r="AO49" t="str">
        <f>IF($C49="Phase",IF($AR49=0,"",IF(COUNT(E50:INDEX(E$6:E$156,44+$AR49))=0,"",MIN(E50:INDEX(E$6:E$156,44+$AR49)))),IF($E49="","",$E49))</f>
        <v/>
      </c>
      <c r="AP49" t="str">
        <f>IF($C49="Phase",IF($AO49="","",MAX(G50:INDEX(G$6:G$156,44+$AR49))),IF($G49="","",$G49))</f>
        <v/>
      </c>
      <c r="AQ49">
        <f>IF($C49="Phase",IF($AR49=0,0,IF(SUM(F50:INDEX(F$6:F$156,44+$AR49))=0,0,SUMPRODUCT(F50:INDEX(F$6:F$156,44+$AR49),H50:INDEX(H$6:H$156,44+$AR49))/SUM(F50:INDEX(F$6:F$156,44+$AR49)))),N($H49))</f>
        <v>0</v>
      </c>
      <c r="AR49">
        <f>IF($C49&lt;&gt;"Phase",0,IFERROR(MATCH("Phase",$C50:$C$156,0)-1,106))</f>
        <v>0</v>
      </c>
      <c r="AS49" t="str">
        <f t="shared" si="17"/>
        <v/>
      </c>
    </row>
    <row r="50" spans="1:45" x14ac:dyDescent="0.3">
      <c r="A50" s="19"/>
      <c r="B50" s="19"/>
      <c r="C50" s="19"/>
      <c r="D50" s="19"/>
      <c r="E50" s="20"/>
      <c r="F50" s="19"/>
      <c r="G50" s="21" t="str">
        <f>IF($C50="Phase",$AP50,IF(OR($E50="",$F50=""),"",IF(N($F50)&lt;=0,$E50,WORKDAY.INTL($E50,$F50-1,Settings!$B$9,Holidays!$A$4:$A$103))))</f>
        <v/>
      </c>
      <c r="H50" s="22"/>
      <c r="I50" s="23" t="str">
        <f t="shared" ca="1" si="16"/>
        <v/>
      </c>
      <c r="J50" s="19"/>
      <c r="K50" s="24" t="str">
        <f t="shared" si="18"/>
        <v/>
      </c>
      <c r="L50" s="24" t="str">
        <f t="shared" si="18"/>
        <v/>
      </c>
      <c r="M50" s="24" t="str">
        <f t="shared" si="18"/>
        <v/>
      </c>
      <c r="N50" s="24" t="str">
        <f t="shared" si="18"/>
        <v/>
      </c>
      <c r="O50" s="24" t="str">
        <f t="shared" si="18"/>
        <v/>
      </c>
      <c r="P50" s="24" t="str">
        <f t="shared" si="18"/>
        <v/>
      </c>
      <c r="Q50" s="24" t="str">
        <f t="shared" si="18"/>
        <v/>
      </c>
      <c r="R50" s="24" t="str">
        <f t="shared" si="18"/>
        <v/>
      </c>
      <c r="S50" s="24" t="str">
        <f t="shared" si="18"/>
        <v/>
      </c>
      <c r="T50" s="24" t="str">
        <f t="shared" si="18"/>
        <v/>
      </c>
      <c r="U50" s="24" t="str">
        <f t="shared" si="19"/>
        <v/>
      </c>
      <c r="V50" s="24" t="str">
        <f t="shared" si="19"/>
        <v/>
      </c>
      <c r="W50" s="24" t="str">
        <f t="shared" si="19"/>
        <v/>
      </c>
      <c r="X50" s="24" t="str">
        <f t="shared" si="19"/>
        <v/>
      </c>
      <c r="Y50" s="24" t="str">
        <f t="shared" si="19"/>
        <v/>
      </c>
      <c r="Z50" s="24" t="str">
        <f t="shared" si="19"/>
        <v/>
      </c>
      <c r="AA50" s="24" t="str">
        <f t="shared" si="19"/>
        <v/>
      </c>
      <c r="AB50" s="24" t="str">
        <f t="shared" si="19"/>
        <v/>
      </c>
      <c r="AC50" s="24" t="str">
        <f t="shared" si="19"/>
        <v/>
      </c>
      <c r="AD50" s="24" t="str">
        <f t="shared" si="19"/>
        <v/>
      </c>
      <c r="AE50" s="24" t="str">
        <f t="shared" si="20"/>
        <v/>
      </c>
      <c r="AF50" s="24" t="str">
        <f t="shared" si="20"/>
        <v/>
      </c>
      <c r="AG50" s="24" t="str">
        <f t="shared" si="20"/>
        <v/>
      </c>
      <c r="AH50" s="24" t="str">
        <f t="shared" si="20"/>
        <v/>
      </c>
      <c r="AI50" s="24" t="str">
        <f t="shared" si="20"/>
        <v/>
      </c>
      <c r="AJ50" s="24" t="str">
        <f t="shared" si="20"/>
        <v/>
      </c>
      <c r="AK50" s="24" t="str">
        <f t="shared" si="20"/>
        <v/>
      </c>
      <c r="AL50" s="24" t="str">
        <f t="shared" si="20"/>
        <v/>
      </c>
      <c r="AM50" s="24" t="str">
        <f t="shared" si="20"/>
        <v/>
      </c>
      <c r="AN50" s="24" t="str">
        <f t="shared" si="20"/>
        <v/>
      </c>
      <c r="AO50" t="str">
        <f>IF($C50="Phase",IF($AR50=0,"",IF(COUNT(E51:INDEX(E$6:E$156,45+$AR50))=0,"",MIN(E51:INDEX(E$6:E$156,45+$AR50)))),IF($E50="","",$E50))</f>
        <v/>
      </c>
      <c r="AP50" t="str">
        <f>IF($C50="Phase",IF($AO50="","",MAX(G51:INDEX(G$6:G$156,45+$AR50))),IF($G50="","",$G50))</f>
        <v/>
      </c>
      <c r="AQ50">
        <f>IF($C50="Phase",IF($AR50=0,0,IF(SUM(F51:INDEX(F$6:F$156,45+$AR50))=0,0,SUMPRODUCT(F51:INDEX(F$6:F$156,45+$AR50),H51:INDEX(H$6:H$156,45+$AR50))/SUM(F51:INDEX(F$6:F$156,45+$AR50)))),N($H50))</f>
        <v>0</v>
      </c>
      <c r="AR50">
        <f>IF($C50&lt;&gt;"Phase",0,IFERROR(MATCH("Phase",$C51:$C$156,0)-1,105))</f>
        <v>0</v>
      </c>
      <c r="AS50" t="str">
        <f t="shared" si="17"/>
        <v/>
      </c>
    </row>
    <row r="51" spans="1:45" x14ac:dyDescent="0.3">
      <c r="A51" s="19"/>
      <c r="B51" s="19"/>
      <c r="C51" s="19"/>
      <c r="D51" s="19"/>
      <c r="E51" s="20"/>
      <c r="F51" s="19"/>
      <c r="G51" s="21" t="str">
        <f>IF($C51="Phase",$AP51,IF(OR($E51="",$F51=""),"",IF(N($F51)&lt;=0,$E51,WORKDAY.INTL($E51,$F51-1,Settings!$B$9,Holidays!$A$4:$A$103))))</f>
        <v/>
      </c>
      <c r="H51" s="22"/>
      <c r="I51" s="23" t="str">
        <f t="shared" ca="1" si="16"/>
        <v/>
      </c>
      <c r="J51" s="19"/>
      <c r="K51" s="24" t="str">
        <f t="shared" si="18"/>
        <v/>
      </c>
      <c r="L51" s="24" t="str">
        <f t="shared" si="18"/>
        <v/>
      </c>
      <c r="M51" s="24" t="str">
        <f t="shared" si="18"/>
        <v/>
      </c>
      <c r="N51" s="24" t="str">
        <f t="shared" si="18"/>
        <v/>
      </c>
      <c r="O51" s="24" t="str">
        <f t="shared" si="18"/>
        <v/>
      </c>
      <c r="P51" s="24" t="str">
        <f t="shared" si="18"/>
        <v/>
      </c>
      <c r="Q51" s="24" t="str">
        <f t="shared" si="18"/>
        <v/>
      </c>
      <c r="R51" s="24" t="str">
        <f t="shared" si="18"/>
        <v/>
      </c>
      <c r="S51" s="24" t="str">
        <f t="shared" si="18"/>
        <v/>
      </c>
      <c r="T51" s="24" t="str">
        <f t="shared" si="18"/>
        <v/>
      </c>
      <c r="U51" s="24" t="str">
        <f t="shared" si="19"/>
        <v/>
      </c>
      <c r="V51" s="24" t="str">
        <f t="shared" si="19"/>
        <v/>
      </c>
      <c r="W51" s="24" t="str">
        <f t="shared" si="19"/>
        <v/>
      </c>
      <c r="X51" s="24" t="str">
        <f t="shared" si="19"/>
        <v/>
      </c>
      <c r="Y51" s="24" t="str">
        <f t="shared" si="19"/>
        <v/>
      </c>
      <c r="Z51" s="24" t="str">
        <f t="shared" si="19"/>
        <v/>
      </c>
      <c r="AA51" s="24" t="str">
        <f t="shared" si="19"/>
        <v/>
      </c>
      <c r="AB51" s="24" t="str">
        <f t="shared" si="19"/>
        <v/>
      </c>
      <c r="AC51" s="24" t="str">
        <f t="shared" si="19"/>
        <v/>
      </c>
      <c r="AD51" s="24" t="str">
        <f t="shared" si="19"/>
        <v/>
      </c>
      <c r="AE51" s="24" t="str">
        <f t="shared" si="20"/>
        <v/>
      </c>
      <c r="AF51" s="24" t="str">
        <f t="shared" si="20"/>
        <v/>
      </c>
      <c r="AG51" s="24" t="str">
        <f t="shared" si="20"/>
        <v/>
      </c>
      <c r="AH51" s="24" t="str">
        <f t="shared" si="20"/>
        <v/>
      </c>
      <c r="AI51" s="24" t="str">
        <f t="shared" si="20"/>
        <v/>
      </c>
      <c r="AJ51" s="24" t="str">
        <f t="shared" si="20"/>
        <v/>
      </c>
      <c r="AK51" s="24" t="str">
        <f t="shared" si="20"/>
        <v/>
      </c>
      <c r="AL51" s="24" t="str">
        <f t="shared" si="20"/>
        <v/>
      </c>
      <c r="AM51" s="24" t="str">
        <f t="shared" si="20"/>
        <v/>
      </c>
      <c r="AN51" s="24" t="str">
        <f t="shared" si="20"/>
        <v/>
      </c>
      <c r="AO51" t="str">
        <f>IF($C51="Phase",IF($AR51=0,"",IF(COUNT(E52:INDEX(E$6:E$156,46+$AR51))=0,"",MIN(E52:INDEX(E$6:E$156,46+$AR51)))),IF($E51="","",$E51))</f>
        <v/>
      </c>
      <c r="AP51" t="str">
        <f>IF($C51="Phase",IF($AO51="","",MAX(G52:INDEX(G$6:G$156,46+$AR51))),IF($G51="","",$G51))</f>
        <v/>
      </c>
      <c r="AQ51">
        <f>IF($C51="Phase",IF($AR51=0,0,IF(SUM(F52:INDEX(F$6:F$156,46+$AR51))=0,0,SUMPRODUCT(F52:INDEX(F$6:F$156,46+$AR51),H52:INDEX(H$6:H$156,46+$AR51))/SUM(F52:INDEX(F$6:F$156,46+$AR51)))),N($H51))</f>
        <v>0</v>
      </c>
      <c r="AR51">
        <f>IF($C51&lt;&gt;"Phase",0,IFERROR(MATCH("Phase",$C52:$C$156,0)-1,104))</f>
        <v>0</v>
      </c>
      <c r="AS51" t="str">
        <f t="shared" si="17"/>
        <v/>
      </c>
    </row>
    <row r="52" spans="1:45" x14ac:dyDescent="0.3">
      <c r="A52" s="19"/>
      <c r="B52" s="19"/>
      <c r="C52" s="19"/>
      <c r="D52" s="19"/>
      <c r="E52" s="20"/>
      <c r="F52" s="19"/>
      <c r="G52" s="21" t="str">
        <f>IF($C52="Phase",$AP52,IF(OR($E52="",$F52=""),"",IF(N($F52)&lt;=0,$E52,WORKDAY.INTL($E52,$F52-1,Settings!$B$9,Holidays!$A$4:$A$103))))</f>
        <v/>
      </c>
      <c r="H52" s="22"/>
      <c r="I52" s="23" t="str">
        <f t="shared" ca="1" si="16"/>
        <v/>
      </c>
      <c r="J52" s="19"/>
      <c r="K52" s="24" t="str">
        <f t="shared" si="18"/>
        <v/>
      </c>
      <c r="L52" s="24" t="str">
        <f t="shared" si="18"/>
        <v/>
      </c>
      <c r="M52" s="24" t="str">
        <f t="shared" si="18"/>
        <v/>
      </c>
      <c r="N52" s="24" t="str">
        <f t="shared" si="18"/>
        <v/>
      </c>
      <c r="O52" s="24" t="str">
        <f t="shared" si="18"/>
        <v/>
      </c>
      <c r="P52" s="24" t="str">
        <f t="shared" si="18"/>
        <v/>
      </c>
      <c r="Q52" s="24" t="str">
        <f t="shared" si="18"/>
        <v/>
      </c>
      <c r="R52" s="24" t="str">
        <f t="shared" si="18"/>
        <v/>
      </c>
      <c r="S52" s="24" t="str">
        <f t="shared" si="18"/>
        <v/>
      </c>
      <c r="T52" s="24" t="str">
        <f t="shared" si="18"/>
        <v/>
      </c>
      <c r="U52" s="24" t="str">
        <f t="shared" si="19"/>
        <v/>
      </c>
      <c r="V52" s="24" t="str">
        <f t="shared" si="19"/>
        <v/>
      </c>
      <c r="W52" s="24" t="str">
        <f t="shared" si="19"/>
        <v/>
      </c>
      <c r="X52" s="24" t="str">
        <f t="shared" si="19"/>
        <v/>
      </c>
      <c r="Y52" s="24" t="str">
        <f t="shared" si="19"/>
        <v/>
      </c>
      <c r="Z52" s="24" t="str">
        <f t="shared" si="19"/>
        <v/>
      </c>
      <c r="AA52" s="24" t="str">
        <f t="shared" si="19"/>
        <v/>
      </c>
      <c r="AB52" s="24" t="str">
        <f t="shared" si="19"/>
        <v/>
      </c>
      <c r="AC52" s="24" t="str">
        <f t="shared" si="19"/>
        <v/>
      </c>
      <c r="AD52" s="24" t="str">
        <f t="shared" si="19"/>
        <v/>
      </c>
      <c r="AE52" s="24" t="str">
        <f t="shared" si="20"/>
        <v/>
      </c>
      <c r="AF52" s="24" t="str">
        <f t="shared" si="20"/>
        <v/>
      </c>
      <c r="AG52" s="24" t="str">
        <f t="shared" si="20"/>
        <v/>
      </c>
      <c r="AH52" s="24" t="str">
        <f t="shared" si="20"/>
        <v/>
      </c>
      <c r="AI52" s="24" t="str">
        <f t="shared" si="20"/>
        <v/>
      </c>
      <c r="AJ52" s="24" t="str">
        <f t="shared" si="20"/>
        <v/>
      </c>
      <c r="AK52" s="24" t="str">
        <f t="shared" si="20"/>
        <v/>
      </c>
      <c r="AL52" s="24" t="str">
        <f t="shared" si="20"/>
        <v/>
      </c>
      <c r="AM52" s="24" t="str">
        <f t="shared" si="20"/>
        <v/>
      </c>
      <c r="AN52" s="24" t="str">
        <f t="shared" si="20"/>
        <v/>
      </c>
      <c r="AO52" t="str">
        <f>IF($C52="Phase",IF($AR52=0,"",IF(COUNT(E53:INDEX(E$6:E$156,47+$AR52))=0,"",MIN(E53:INDEX(E$6:E$156,47+$AR52)))),IF($E52="","",$E52))</f>
        <v/>
      </c>
      <c r="AP52" t="str">
        <f>IF($C52="Phase",IF($AO52="","",MAX(G53:INDEX(G$6:G$156,47+$AR52))),IF($G52="","",$G52))</f>
        <v/>
      </c>
      <c r="AQ52">
        <f>IF($C52="Phase",IF($AR52=0,0,IF(SUM(F53:INDEX(F$6:F$156,47+$AR52))=0,0,SUMPRODUCT(F53:INDEX(F$6:F$156,47+$AR52),H53:INDEX(H$6:H$156,47+$AR52))/SUM(F53:INDEX(F$6:F$156,47+$AR52)))),N($H52))</f>
        <v>0</v>
      </c>
      <c r="AR52">
        <f>IF($C52&lt;&gt;"Phase",0,IFERROR(MATCH("Phase",$C53:$C$156,0)-1,103))</f>
        <v>0</v>
      </c>
      <c r="AS52" t="str">
        <f t="shared" si="17"/>
        <v/>
      </c>
    </row>
    <row r="53" spans="1:45" x14ac:dyDescent="0.3">
      <c r="A53" s="19"/>
      <c r="B53" s="19"/>
      <c r="C53" s="19"/>
      <c r="D53" s="19"/>
      <c r="E53" s="20"/>
      <c r="F53" s="19"/>
      <c r="G53" s="21" t="str">
        <f>IF($C53="Phase",$AP53,IF(OR($E53="",$F53=""),"",IF(N($F53)&lt;=0,$E53,WORKDAY.INTL($E53,$F53-1,Settings!$B$9,Holidays!$A$4:$A$103))))</f>
        <v/>
      </c>
      <c r="H53" s="22"/>
      <c r="I53" s="23" t="str">
        <f t="shared" ca="1" si="16"/>
        <v/>
      </c>
      <c r="J53" s="19"/>
      <c r="K53" s="24" t="str">
        <f t="shared" si="18"/>
        <v/>
      </c>
      <c r="L53" s="24" t="str">
        <f t="shared" si="18"/>
        <v/>
      </c>
      <c r="M53" s="24" t="str">
        <f t="shared" si="18"/>
        <v/>
      </c>
      <c r="N53" s="24" t="str">
        <f t="shared" si="18"/>
        <v/>
      </c>
      <c r="O53" s="24" t="str">
        <f t="shared" si="18"/>
        <v/>
      </c>
      <c r="P53" s="24" t="str">
        <f t="shared" si="18"/>
        <v/>
      </c>
      <c r="Q53" s="24" t="str">
        <f t="shared" si="18"/>
        <v/>
      </c>
      <c r="R53" s="24" t="str">
        <f t="shared" si="18"/>
        <v/>
      </c>
      <c r="S53" s="24" t="str">
        <f t="shared" si="18"/>
        <v/>
      </c>
      <c r="T53" s="24" t="str">
        <f t="shared" si="18"/>
        <v/>
      </c>
      <c r="U53" s="24" t="str">
        <f t="shared" si="19"/>
        <v/>
      </c>
      <c r="V53" s="24" t="str">
        <f t="shared" si="19"/>
        <v/>
      </c>
      <c r="W53" s="24" t="str">
        <f t="shared" si="19"/>
        <v/>
      </c>
      <c r="X53" s="24" t="str">
        <f t="shared" si="19"/>
        <v/>
      </c>
      <c r="Y53" s="24" t="str">
        <f t="shared" si="19"/>
        <v/>
      </c>
      <c r="Z53" s="24" t="str">
        <f t="shared" si="19"/>
        <v/>
      </c>
      <c r="AA53" s="24" t="str">
        <f t="shared" si="19"/>
        <v/>
      </c>
      <c r="AB53" s="24" t="str">
        <f t="shared" si="19"/>
        <v/>
      </c>
      <c r="AC53" s="24" t="str">
        <f t="shared" si="19"/>
        <v/>
      </c>
      <c r="AD53" s="24" t="str">
        <f t="shared" si="19"/>
        <v/>
      </c>
      <c r="AE53" s="24" t="str">
        <f t="shared" si="20"/>
        <v/>
      </c>
      <c r="AF53" s="24" t="str">
        <f t="shared" si="20"/>
        <v/>
      </c>
      <c r="AG53" s="24" t="str">
        <f t="shared" si="20"/>
        <v/>
      </c>
      <c r="AH53" s="24" t="str">
        <f t="shared" si="20"/>
        <v/>
      </c>
      <c r="AI53" s="24" t="str">
        <f t="shared" si="20"/>
        <v/>
      </c>
      <c r="AJ53" s="24" t="str">
        <f t="shared" si="20"/>
        <v/>
      </c>
      <c r="AK53" s="24" t="str">
        <f t="shared" si="20"/>
        <v/>
      </c>
      <c r="AL53" s="24" t="str">
        <f t="shared" si="20"/>
        <v/>
      </c>
      <c r="AM53" s="24" t="str">
        <f t="shared" si="20"/>
        <v/>
      </c>
      <c r="AN53" s="24" t="str">
        <f t="shared" si="20"/>
        <v/>
      </c>
      <c r="AO53" t="str">
        <f>IF($C53="Phase",IF($AR53=0,"",IF(COUNT(E54:INDEX(E$6:E$156,48+$AR53))=0,"",MIN(E54:INDEX(E$6:E$156,48+$AR53)))),IF($E53="","",$E53))</f>
        <v/>
      </c>
      <c r="AP53" t="str">
        <f>IF($C53="Phase",IF($AO53="","",MAX(G54:INDEX(G$6:G$156,48+$AR53))),IF($G53="","",$G53))</f>
        <v/>
      </c>
      <c r="AQ53">
        <f>IF($C53="Phase",IF($AR53=0,0,IF(SUM(F54:INDEX(F$6:F$156,48+$AR53))=0,0,SUMPRODUCT(F54:INDEX(F$6:F$156,48+$AR53),H54:INDEX(H$6:H$156,48+$AR53))/SUM(F54:INDEX(F$6:F$156,48+$AR53)))),N($H53))</f>
        <v>0</v>
      </c>
      <c r="AR53">
        <f>IF($C53&lt;&gt;"Phase",0,IFERROR(MATCH("Phase",$C54:$C$156,0)-1,102))</f>
        <v>0</v>
      </c>
      <c r="AS53" t="str">
        <f t="shared" si="17"/>
        <v/>
      </c>
    </row>
    <row r="54" spans="1:45" x14ac:dyDescent="0.3">
      <c r="A54" s="19"/>
      <c r="B54" s="19"/>
      <c r="C54" s="19"/>
      <c r="D54" s="19"/>
      <c r="E54" s="20"/>
      <c r="F54" s="19"/>
      <c r="G54" s="21" t="str">
        <f>IF($C54="Phase",$AP54,IF(OR($E54="",$F54=""),"",IF(N($F54)&lt;=0,$E54,WORKDAY.INTL($E54,$F54-1,Settings!$B$9,Holidays!$A$4:$A$103))))</f>
        <v/>
      </c>
      <c r="H54" s="22"/>
      <c r="I54" s="23" t="str">
        <f t="shared" ca="1" si="16"/>
        <v/>
      </c>
      <c r="J54" s="19"/>
      <c r="K54" s="24" t="str">
        <f t="shared" si="18"/>
        <v/>
      </c>
      <c r="L54" s="24" t="str">
        <f t="shared" si="18"/>
        <v/>
      </c>
      <c r="M54" s="24" t="str">
        <f t="shared" si="18"/>
        <v/>
      </c>
      <c r="N54" s="24" t="str">
        <f t="shared" si="18"/>
        <v/>
      </c>
      <c r="O54" s="24" t="str">
        <f t="shared" si="18"/>
        <v/>
      </c>
      <c r="P54" s="24" t="str">
        <f t="shared" si="18"/>
        <v/>
      </c>
      <c r="Q54" s="24" t="str">
        <f t="shared" si="18"/>
        <v/>
      </c>
      <c r="R54" s="24" t="str">
        <f t="shared" si="18"/>
        <v/>
      </c>
      <c r="S54" s="24" t="str">
        <f t="shared" si="18"/>
        <v/>
      </c>
      <c r="T54" s="24" t="str">
        <f t="shared" si="18"/>
        <v/>
      </c>
      <c r="U54" s="24" t="str">
        <f t="shared" si="19"/>
        <v/>
      </c>
      <c r="V54" s="24" t="str">
        <f t="shared" si="19"/>
        <v/>
      </c>
      <c r="W54" s="24" t="str">
        <f t="shared" si="19"/>
        <v/>
      </c>
      <c r="X54" s="24" t="str">
        <f t="shared" si="19"/>
        <v/>
      </c>
      <c r="Y54" s="24" t="str">
        <f t="shared" si="19"/>
        <v/>
      </c>
      <c r="Z54" s="24" t="str">
        <f t="shared" si="19"/>
        <v/>
      </c>
      <c r="AA54" s="24" t="str">
        <f t="shared" si="19"/>
        <v/>
      </c>
      <c r="AB54" s="24" t="str">
        <f t="shared" si="19"/>
        <v/>
      </c>
      <c r="AC54" s="24" t="str">
        <f t="shared" si="19"/>
        <v/>
      </c>
      <c r="AD54" s="24" t="str">
        <f t="shared" si="19"/>
        <v/>
      </c>
      <c r="AE54" s="24" t="str">
        <f t="shared" si="20"/>
        <v/>
      </c>
      <c r="AF54" s="24" t="str">
        <f t="shared" si="20"/>
        <v/>
      </c>
      <c r="AG54" s="24" t="str">
        <f t="shared" si="20"/>
        <v/>
      </c>
      <c r="AH54" s="24" t="str">
        <f t="shared" si="20"/>
        <v/>
      </c>
      <c r="AI54" s="24" t="str">
        <f t="shared" si="20"/>
        <v/>
      </c>
      <c r="AJ54" s="24" t="str">
        <f t="shared" si="20"/>
        <v/>
      </c>
      <c r="AK54" s="24" t="str">
        <f t="shared" si="20"/>
        <v/>
      </c>
      <c r="AL54" s="24" t="str">
        <f t="shared" si="20"/>
        <v/>
      </c>
      <c r="AM54" s="24" t="str">
        <f t="shared" si="20"/>
        <v/>
      </c>
      <c r="AN54" s="24" t="str">
        <f t="shared" si="20"/>
        <v/>
      </c>
      <c r="AO54" t="str">
        <f>IF($C54="Phase",IF($AR54=0,"",IF(COUNT(E55:INDEX(E$6:E$156,49+$AR54))=0,"",MIN(E55:INDEX(E$6:E$156,49+$AR54)))),IF($E54="","",$E54))</f>
        <v/>
      </c>
      <c r="AP54" t="str">
        <f>IF($C54="Phase",IF($AO54="","",MAX(G55:INDEX(G$6:G$156,49+$AR54))),IF($G54="","",$G54))</f>
        <v/>
      </c>
      <c r="AQ54">
        <f>IF($C54="Phase",IF($AR54=0,0,IF(SUM(F55:INDEX(F$6:F$156,49+$AR54))=0,0,SUMPRODUCT(F55:INDEX(F$6:F$156,49+$AR54),H55:INDEX(H$6:H$156,49+$AR54))/SUM(F55:INDEX(F$6:F$156,49+$AR54)))),N($H54))</f>
        <v>0</v>
      </c>
      <c r="AR54">
        <f>IF($C54&lt;&gt;"Phase",0,IFERROR(MATCH("Phase",$C55:$C$156,0)-1,101))</f>
        <v>0</v>
      </c>
      <c r="AS54" t="str">
        <f t="shared" si="17"/>
        <v/>
      </c>
    </row>
    <row r="55" spans="1:45" x14ac:dyDescent="0.3">
      <c r="A55" s="19"/>
      <c r="B55" s="19"/>
      <c r="C55" s="19"/>
      <c r="D55" s="19"/>
      <c r="E55" s="20"/>
      <c r="F55" s="19"/>
      <c r="G55" s="21" t="str">
        <f>IF($C55="Phase",$AP55,IF(OR($E55="",$F55=""),"",IF(N($F55)&lt;=0,$E55,WORKDAY.INTL($E55,$F55-1,Settings!$B$9,Holidays!$A$4:$A$103))))</f>
        <v/>
      </c>
      <c r="H55" s="22"/>
      <c r="I55" s="23" t="str">
        <f t="shared" ca="1" si="16"/>
        <v/>
      </c>
      <c r="J55" s="19"/>
      <c r="K55" s="24" t="str">
        <f t="shared" si="18"/>
        <v/>
      </c>
      <c r="L55" s="24" t="str">
        <f t="shared" si="18"/>
        <v/>
      </c>
      <c r="M55" s="24" t="str">
        <f t="shared" si="18"/>
        <v/>
      </c>
      <c r="N55" s="24" t="str">
        <f t="shared" si="18"/>
        <v/>
      </c>
      <c r="O55" s="24" t="str">
        <f t="shared" si="18"/>
        <v/>
      </c>
      <c r="P55" s="24" t="str">
        <f t="shared" si="18"/>
        <v/>
      </c>
      <c r="Q55" s="24" t="str">
        <f t="shared" si="18"/>
        <v/>
      </c>
      <c r="R55" s="24" t="str">
        <f t="shared" si="18"/>
        <v/>
      </c>
      <c r="S55" s="24" t="str">
        <f t="shared" si="18"/>
        <v/>
      </c>
      <c r="T55" s="24" t="str">
        <f t="shared" si="18"/>
        <v/>
      </c>
      <c r="U55" s="24" t="str">
        <f t="shared" si="19"/>
        <v/>
      </c>
      <c r="V55" s="24" t="str">
        <f t="shared" si="19"/>
        <v/>
      </c>
      <c r="W55" s="24" t="str">
        <f t="shared" si="19"/>
        <v/>
      </c>
      <c r="X55" s="24" t="str">
        <f t="shared" si="19"/>
        <v/>
      </c>
      <c r="Y55" s="24" t="str">
        <f t="shared" si="19"/>
        <v/>
      </c>
      <c r="Z55" s="24" t="str">
        <f t="shared" si="19"/>
        <v/>
      </c>
      <c r="AA55" s="24" t="str">
        <f t="shared" si="19"/>
        <v/>
      </c>
      <c r="AB55" s="24" t="str">
        <f t="shared" si="19"/>
        <v/>
      </c>
      <c r="AC55" s="24" t="str">
        <f t="shared" si="19"/>
        <v/>
      </c>
      <c r="AD55" s="24" t="str">
        <f t="shared" si="19"/>
        <v/>
      </c>
      <c r="AE55" s="24" t="str">
        <f t="shared" si="20"/>
        <v/>
      </c>
      <c r="AF55" s="24" t="str">
        <f t="shared" si="20"/>
        <v/>
      </c>
      <c r="AG55" s="24" t="str">
        <f t="shared" si="20"/>
        <v/>
      </c>
      <c r="AH55" s="24" t="str">
        <f t="shared" si="20"/>
        <v/>
      </c>
      <c r="AI55" s="24" t="str">
        <f t="shared" si="20"/>
        <v/>
      </c>
      <c r="AJ55" s="24" t="str">
        <f t="shared" si="20"/>
        <v/>
      </c>
      <c r="AK55" s="24" t="str">
        <f t="shared" si="20"/>
        <v/>
      </c>
      <c r="AL55" s="24" t="str">
        <f t="shared" si="20"/>
        <v/>
      </c>
      <c r="AM55" s="24" t="str">
        <f t="shared" si="20"/>
        <v/>
      </c>
      <c r="AN55" s="24" t="str">
        <f t="shared" si="20"/>
        <v/>
      </c>
      <c r="AO55" t="str">
        <f>IF($C55="Phase",IF($AR55=0,"",IF(COUNT(E56:INDEX(E$6:E$156,50+$AR55))=0,"",MIN(E56:INDEX(E$6:E$156,50+$AR55)))),IF($E55="","",$E55))</f>
        <v/>
      </c>
      <c r="AP55" t="str">
        <f>IF($C55="Phase",IF($AO55="","",MAX(G56:INDEX(G$6:G$156,50+$AR55))),IF($G55="","",$G55))</f>
        <v/>
      </c>
      <c r="AQ55">
        <f>IF($C55="Phase",IF($AR55=0,0,IF(SUM(F56:INDEX(F$6:F$156,50+$AR55))=0,0,SUMPRODUCT(F56:INDEX(F$6:F$156,50+$AR55),H56:INDEX(H$6:H$156,50+$AR55))/SUM(F56:INDEX(F$6:F$156,50+$AR55)))),N($H55))</f>
        <v>0</v>
      </c>
      <c r="AR55">
        <f>IF($C55&lt;&gt;"Phase",0,IFERROR(MATCH("Phase",$C56:$C$156,0)-1,100))</f>
        <v>0</v>
      </c>
      <c r="AS55" t="str">
        <f t="shared" si="17"/>
        <v/>
      </c>
    </row>
    <row r="56" spans="1:45" x14ac:dyDescent="0.3">
      <c r="A56" s="19"/>
      <c r="B56" s="19"/>
      <c r="C56" s="19"/>
      <c r="D56" s="19"/>
      <c r="E56" s="20"/>
      <c r="F56" s="19"/>
      <c r="G56" s="21" t="str">
        <f>IF($C56="Phase",$AP56,IF(OR($E56="",$F56=""),"",IF(N($F56)&lt;=0,$E56,WORKDAY.INTL($E56,$F56-1,Settings!$B$9,Holidays!$A$4:$A$103))))</f>
        <v/>
      </c>
      <c r="H56" s="22"/>
      <c r="I56" s="23" t="str">
        <f t="shared" ca="1" si="16"/>
        <v/>
      </c>
      <c r="J56" s="19"/>
      <c r="K56" s="24" t="str">
        <f t="shared" ref="K56:T65" si="21">IF(AND($C56="Milestone",$AP56&lt;&gt;""),IF(AND($AP56&gt;=K$5,$AP56&lt;K$5+$AO$3),"◆",""),"")</f>
        <v/>
      </c>
      <c r="L56" s="24" t="str">
        <f t="shared" si="21"/>
        <v/>
      </c>
      <c r="M56" s="24" t="str">
        <f t="shared" si="21"/>
        <v/>
      </c>
      <c r="N56" s="24" t="str">
        <f t="shared" si="21"/>
        <v/>
      </c>
      <c r="O56" s="24" t="str">
        <f t="shared" si="21"/>
        <v/>
      </c>
      <c r="P56" s="24" t="str">
        <f t="shared" si="21"/>
        <v/>
      </c>
      <c r="Q56" s="24" t="str">
        <f t="shared" si="21"/>
        <v/>
      </c>
      <c r="R56" s="24" t="str">
        <f t="shared" si="21"/>
        <v/>
      </c>
      <c r="S56" s="24" t="str">
        <f t="shared" si="21"/>
        <v/>
      </c>
      <c r="T56" s="24" t="str">
        <f t="shared" si="21"/>
        <v/>
      </c>
      <c r="U56" s="24" t="str">
        <f t="shared" ref="U56:AD65" si="22">IF(AND($C56="Milestone",$AP56&lt;&gt;""),IF(AND($AP56&gt;=U$5,$AP56&lt;U$5+$AO$3),"◆",""),"")</f>
        <v/>
      </c>
      <c r="V56" s="24" t="str">
        <f t="shared" si="22"/>
        <v/>
      </c>
      <c r="W56" s="24" t="str">
        <f t="shared" si="22"/>
        <v/>
      </c>
      <c r="X56" s="24" t="str">
        <f t="shared" si="22"/>
        <v/>
      </c>
      <c r="Y56" s="24" t="str">
        <f t="shared" si="22"/>
        <v/>
      </c>
      <c r="Z56" s="24" t="str">
        <f t="shared" si="22"/>
        <v/>
      </c>
      <c r="AA56" s="24" t="str">
        <f t="shared" si="22"/>
        <v/>
      </c>
      <c r="AB56" s="24" t="str">
        <f t="shared" si="22"/>
        <v/>
      </c>
      <c r="AC56" s="24" t="str">
        <f t="shared" si="22"/>
        <v/>
      </c>
      <c r="AD56" s="24" t="str">
        <f t="shared" si="22"/>
        <v/>
      </c>
      <c r="AE56" s="24" t="str">
        <f t="shared" ref="AE56:AN65" si="23">IF(AND($C56="Milestone",$AP56&lt;&gt;""),IF(AND($AP56&gt;=AE$5,$AP56&lt;AE$5+$AO$3),"◆",""),"")</f>
        <v/>
      </c>
      <c r="AF56" s="24" t="str">
        <f t="shared" si="23"/>
        <v/>
      </c>
      <c r="AG56" s="24" t="str">
        <f t="shared" si="23"/>
        <v/>
      </c>
      <c r="AH56" s="24" t="str">
        <f t="shared" si="23"/>
        <v/>
      </c>
      <c r="AI56" s="24" t="str">
        <f t="shared" si="23"/>
        <v/>
      </c>
      <c r="AJ56" s="24" t="str">
        <f t="shared" si="23"/>
        <v/>
      </c>
      <c r="AK56" s="24" t="str">
        <f t="shared" si="23"/>
        <v/>
      </c>
      <c r="AL56" s="24" t="str">
        <f t="shared" si="23"/>
        <v/>
      </c>
      <c r="AM56" s="24" t="str">
        <f t="shared" si="23"/>
        <v/>
      </c>
      <c r="AN56" s="24" t="str">
        <f t="shared" si="23"/>
        <v/>
      </c>
      <c r="AO56" t="str">
        <f>IF($C56="Phase",IF($AR56=0,"",IF(COUNT(E57:INDEX(E$6:E$156,51+$AR56))=0,"",MIN(E57:INDEX(E$6:E$156,51+$AR56)))),IF($E56="","",$E56))</f>
        <v/>
      </c>
      <c r="AP56" t="str">
        <f>IF($C56="Phase",IF($AO56="","",MAX(G57:INDEX(G$6:G$156,51+$AR56))),IF($G56="","",$G56))</f>
        <v/>
      </c>
      <c r="AQ56">
        <f>IF($C56="Phase",IF($AR56=0,0,IF(SUM(F57:INDEX(F$6:F$156,51+$AR56))=0,0,SUMPRODUCT(F57:INDEX(F$6:F$156,51+$AR56),H57:INDEX(H$6:H$156,51+$AR56))/SUM(F57:INDEX(F$6:F$156,51+$AR56)))),N($H56))</f>
        <v>0</v>
      </c>
      <c r="AR56">
        <f>IF($C56&lt;&gt;"Phase",0,IFERROR(MATCH("Phase",$C57:$C$156,0)-1,99))</f>
        <v>0</v>
      </c>
      <c r="AS56" t="str">
        <f t="shared" si="17"/>
        <v/>
      </c>
    </row>
    <row r="57" spans="1:45" x14ac:dyDescent="0.3">
      <c r="A57" s="19"/>
      <c r="B57" s="19"/>
      <c r="C57" s="19"/>
      <c r="D57" s="19"/>
      <c r="E57" s="20"/>
      <c r="F57" s="19"/>
      <c r="G57" s="21" t="str">
        <f>IF($C57="Phase",$AP57,IF(OR($E57="",$F57=""),"",IF(N($F57)&lt;=0,$E57,WORKDAY.INTL($E57,$F57-1,Settings!$B$9,Holidays!$A$4:$A$103))))</f>
        <v/>
      </c>
      <c r="H57" s="22"/>
      <c r="I57" s="23" t="str">
        <f t="shared" ca="1" si="16"/>
        <v/>
      </c>
      <c r="J57" s="19"/>
      <c r="K57" s="24" t="str">
        <f t="shared" si="21"/>
        <v/>
      </c>
      <c r="L57" s="24" t="str">
        <f t="shared" si="21"/>
        <v/>
      </c>
      <c r="M57" s="24" t="str">
        <f t="shared" si="21"/>
        <v/>
      </c>
      <c r="N57" s="24" t="str">
        <f t="shared" si="21"/>
        <v/>
      </c>
      <c r="O57" s="24" t="str">
        <f t="shared" si="21"/>
        <v/>
      </c>
      <c r="P57" s="24" t="str">
        <f t="shared" si="21"/>
        <v/>
      </c>
      <c r="Q57" s="24" t="str">
        <f t="shared" si="21"/>
        <v/>
      </c>
      <c r="R57" s="24" t="str">
        <f t="shared" si="21"/>
        <v/>
      </c>
      <c r="S57" s="24" t="str">
        <f t="shared" si="21"/>
        <v/>
      </c>
      <c r="T57" s="24" t="str">
        <f t="shared" si="21"/>
        <v/>
      </c>
      <c r="U57" s="24" t="str">
        <f t="shared" si="22"/>
        <v/>
      </c>
      <c r="V57" s="24" t="str">
        <f t="shared" si="22"/>
        <v/>
      </c>
      <c r="W57" s="24" t="str">
        <f t="shared" si="22"/>
        <v/>
      </c>
      <c r="X57" s="24" t="str">
        <f t="shared" si="22"/>
        <v/>
      </c>
      <c r="Y57" s="24" t="str">
        <f t="shared" si="22"/>
        <v/>
      </c>
      <c r="Z57" s="24" t="str">
        <f t="shared" si="22"/>
        <v/>
      </c>
      <c r="AA57" s="24" t="str">
        <f t="shared" si="22"/>
        <v/>
      </c>
      <c r="AB57" s="24" t="str">
        <f t="shared" si="22"/>
        <v/>
      </c>
      <c r="AC57" s="24" t="str">
        <f t="shared" si="22"/>
        <v/>
      </c>
      <c r="AD57" s="24" t="str">
        <f t="shared" si="22"/>
        <v/>
      </c>
      <c r="AE57" s="24" t="str">
        <f t="shared" si="23"/>
        <v/>
      </c>
      <c r="AF57" s="24" t="str">
        <f t="shared" si="23"/>
        <v/>
      </c>
      <c r="AG57" s="24" t="str">
        <f t="shared" si="23"/>
        <v/>
      </c>
      <c r="AH57" s="24" t="str">
        <f t="shared" si="23"/>
        <v/>
      </c>
      <c r="AI57" s="24" t="str">
        <f t="shared" si="23"/>
        <v/>
      </c>
      <c r="AJ57" s="24" t="str">
        <f t="shared" si="23"/>
        <v/>
      </c>
      <c r="AK57" s="24" t="str">
        <f t="shared" si="23"/>
        <v/>
      </c>
      <c r="AL57" s="24" t="str">
        <f t="shared" si="23"/>
        <v/>
      </c>
      <c r="AM57" s="24" t="str">
        <f t="shared" si="23"/>
        <v/>
      </c>
      <c r="AN57" s="24" t="str">
        <f t="shared" si="23"/>
        <v/>
      </c>
      <c r="AO57" t="str">
        <f>IF($C57="Phase",IF($AR57=0,"",IF(COUNT(E58:INDEX(E$6:E$156,52+$AR57))=0,"",MIN(E58:INDEX(E$6:E$156,52+$AR57)))),IF($E57="","",$E57))</f>
        <v/>
      </c>
      <c r="AP57" t="str">
        <f>IF($C57="Phase",IF($AO57="","",MAX(G58:INDEX(G$6:G$156,52+$AR57))),IF($G57="","",$G57))</f>
        <v/>
      </c>
      <c r="AQ57">
        <f>IF($C57="Phase",IF($AR57=0,0,IF(SUM(F58:INDEX(F$6:F$156,52+$AR57))=0,0,SUMPRODUCT(F58:INDEX(F$6:F$156,52+$AR57),H58:INDEX(H$6:H$156,52+$AR57))/SUM(F58:INDEX(F$6:F$156,52+$AR57)))),N($H57))</f>
        <v>0</v>
      </c>
      <c r="AR57">
        <f>IF($C57&lt;&gt;"Phase",0,IFERROR(MATCH("Phase",$C58:$C$156,0)-1,98))</f>
        <v>0</v>
      </c>
      <c r="AS57" t="str">
        <f t="shared" si="17"/>
        <v/>
      </c>
    </row>
    <row r="58" spans="1:45" x14ac:dyDescent="0.3">
      <c r="A58" s="19"/>
      <c r="B58" s="19"/>
      <c r="C58" s="19"/>
      <c r="D58" s="19"/>
      <c r="E58" s="20"/>
      <c r="F58" s="19"/>
      <c r="G58" s="21" t="str">
        <f>IF($C58="Phase",$AP58,IF(OR($E58="",$F58=""),"",IF(N($F58)&lt;=0,$E58,WORKDAY.INTL($E58,$F58-1,Settings!$B$9,Holidays!$A$4:$A$103))))</f>
        <v/>
      </c>
      <c r="H58" s="22"/>
      <c r="I58" s="23" t="str">
        <f t="shared" ca="1" si="16"/>
        <v/>
      </c>
      <c r="J58" s="19"/>
      <c r="K58" s="24" t="str">
        <f t="shared" si="21"/>
        <v/>
      </c>
      <c r="L58" s="24" t="str">
        <f t="shared" si="21"/>
        <v/>
      </c>
      <c r="M58" s="24" t="str">
        <f t="shared" si="21"/>
        <v/>
      </c>
      <c r="N58" s="24" t="str">
        <f t="shared" si="21"/>
        <v/>
      </c>
      <c r="O58" s="24" t="str">
        <f t="shared" si="21"/>
        <v/>
      </c>
      <c r="P58" s="24" t="str">
        <f t="shared" si="21"/>
        <v/>
      </c>
      <c r="Q58" s="24" t="str">
        <f t="shared" si="21"/>
        <v/>
      </c>
      <c r="R58" s="24" t="str">
        <f t="shared" si="21"/>
        <v/>
      </c>
      <c r="S58" s="24" t="str">
        <f t="shared" si="21"/>
        <v/>
      </c>
      <c r="T58" s="24" t="str">
        <f t="shared" si="21"/>
        <v/>
      </c>
      <c r="U58" s="24" t="str">
        <f t="shared" si="22"/>
        <v/>
      </c>
      <c r="V58" s="24" t="str">
        <f t="shared" si="22"/>
        <v/>
      </c>
      <c r="W58" s="24" t="str">
        <f t="shared" si="22"/>
        <v/>
      </c>
      <c r="X58" s="24" t="str">
        <f t="shared" si="22"/>
        <v/>
      </c>
      <c r="Y58" s="24" t="str">
        <f t="shared" si="22"/>
        <v/>
      </c>
      <c r="Z58" s="24" t="str">
        <f t="shared" si="22"/>
        <v/>
      </c>
      <c r="AA58" s="24" t="str">
        <f t="shared" si="22"/>
        <v/>
      </c>
      <c r="AB58" s="24" t="str">
        <f t="shared" si="22"/>
        <v/>
      </c>
      <c r="AC58" s="24" t="str">
        <f t="shared" si="22"/>
        <v/>
      </c>
      <c r="AD58" s="24" t="str">
        <f t="shared" si="22"/>
        <v/>
      </c>
      <c r="AE58" s="24" t="str">
        <f t="shared" si="23"/>
        <v/>
      </c>
      <c r="AF58" s="24" t="str">
        <f t="shared" si="23"/>
        <v/>
      </c>
      <c r="AG58" s="24" t="str">
        <f t="shared" si="23"/>
        <v/>
      </c>
      <c r="AH58" s="24" t="str">
        <f t="shared" si="23"/>
        <v/>
      </c>
      <c r="AI58" s="24" t="str">
        <f t="shared" si="23"/>
        <v/>
      </c>
      <c r="AJ58" s="24" t="str">
        <f t="shared" si="23"/>
        <v/>
      </c>
      <c r="AK58" s="24" t="str">
        <f t="shared" si="23"/>
        <v/>
      </c>
      <c r="AL58" s="24" t="str">
        <f t="shared" si="23"/>
        <v/>
      </c>
      <c r="AM58" s="24" t="str">
        <f t="shared" si="23"/>
        <v/>
      </c>
      <c r="AN58" s="24" t="str">
        <f t="shared" si="23"/>
        <v/>
      </c>
      <c r="AO58" t="str">
        <f>IF($C58="Phase",IF($AR58=0,"",IF(COUNT(E59:INDEX(E$6:E$156,53+$AR58))=0,"",MIN(E59:INDEX(E$6:E$156,53+$AR58)))),IF($E58="","",$E58))</f>
        <v/>
      </c>
      <c r="AP58" t="str">
        <f>IF($C58="Phase",IF($AO58="","",MAX(G59:INDEX(G$6:G$156,53+$AR58))),IF($G58="","",$G58))</f>
        <v/>
      </c>
      <c r="AQ58">
        <f>IF($C58="Phase",IF($AR58=0,0,IF(SUM(F59:INDEX(F$6:F$156,53+$AR58))=0,0,SUMPRODUCT(F59:INDEX(F$6:F$156,53+$AR58),H59:INDEX(H$6:H$156,53+$AR58))/SUM(F59:INDEX(F$6:F$156,53+$AR58)))),N($H58))</f>
        <v>0</v>
      </c>
      <c r="AR58">
        <f>IF($C58&lt;&gt;"Phase",0,IFERROR(MATCH("Phase",$C59:$C$156,0)-1,97))</f>
        <v>0</v>
      </c>
      <c r="AS58" t="str">
        <f t="shared" si="17"/>
        <v/>
      </c>
    </row>
    <row r="59" spans="1:45" x14ac:dyDescent="0.3">
      <c r="A59" s="19"/>
      <c r="B59" s="19"/>
      <c r="C59" s="19"/>
      <c r="D59" s="19"/>
      <c r="E59" s="20"/>
      <c r="F59" s="19"/>
      <c r="G59" s="21" t="str">
        <f>IF($C59="Phase",$AP59,IF(OR($E59="",$F59=""),"",IF(N($F59)&lt;=0,$E59,WORKDAY.INTL($E59,$F59-1,Settings!$B$9,Holidays!$A$4:$A$103))))</f>
        <v/>
      </c>
      <c r="H59" s="22"/>
      <c r="I59" s="23" t="str">
        <f t="shared" ca="1" si="16"/>
        <v/>
      </c>
      <c r="J59" s="19"/>
      <c r="K59" s="24" t="str">
        <f t="shared" si="21"/>
        <v/>
      </c>
      <c r="L59" s="24" t="str">
        <f t="shared" si="21"/>
        <v/>
      </c>
      <c r="M59" s="24" t="str">
        <f t="shared" si="21"/>
        <v/>
      </c>
      <c r="N59" s="24" t="str">
        <f t="shared" si="21"/>
        <v/>
      </c>
      <c r="O59" s="24" t="str">
        <f t="shared" si="21"/>
        <v/>
      </c>
      <c r="P59" s="24" t="str">
        <f t="shared" si="21"/>
        <v/>
      </c>
      <c r="Q59" s="24" t="str">
        <f t="shared" si="21"/>
        <v/>
      </c>
      <c r="R59" s="24" t="str">
        <f t="shared" si="21"/>
        <v/>
      </c>
      <c r="S59" s="24" t="str">
        <f t="shared" si="21"/>
        <v/>
      </c>
      <c r="T59" s="24" t="str">
        <f t="shared" si="21"/>
        <v/>
      </c>
      <c r="U59" s="24" t="str">
        <f t="shared" si="22"/>
        <v/>
      </c>
      <c r="V59" s="24" t="str">
        <f t="shared" si="22"/>
        <v/>
      </c>
      <c r="W59" s="24" t="str">
        <f t="shared" si="22"/>
        <v/>
      </c>
      <c r="X59" s="24" t="str">
        <f t="shared" si="22"/>
        <v/>
      </c>
      <c r="Y59" s="24" t="str">
        <f t="shared" si="22"/>
        <v/>
      </c>
      <c r="Z59" s="24" t="str">
        <f t="shared" si="22"/>
        <v/>
      </c>
      <c r="AA59" s="24" t="str">
        <f t="shared" si="22"/>
        <v/>
      </c>
      <c r="AB59" s="24" t="str">
        <f t="shared" si="22"/>
        <v/>
      </c>
      <c r="AC59" s="24" t="str">
        <f t="shared" si="22"/>
        <v/>
      </c>
      <c r="AD59" s="24" t="str">
        <f t="shared" si="22"/>
        <v/>
      </c>
      <c r="AE59" s="24" t="str">
        <f t="shared" si="23"/>
        <v/>
      </c>
      <c r="AF59" s="24" t="str">
        <f t="shared" si="23"/>
        <v/>
      </c>
      <c r="AG59" s="24" t="str">
        <f t="shared" si="23"/>
        <v/>
      </c>
      <c r="AH59" s="24" t="str">
        <f t="shared" si="23"/>
        <v/>
      </c>
      <c r="AI59" s="24" t="str">
        <f t="shared" si="23"/>
        <v/>
      </c>
      <c r="AJ59" s="24" t="str">
        <f t="shared" si="23"/>
        <v/>
      </c>
      <c r="AK59" s="24" t="str">
        <f t="shared" si="23"/>
        <v/>
      </c>
      <c r="AL59" s="24" t="str">
        <f t="shared" si="23"/>
        <v/>
      </c>
      <c r="AM59" s="24" t="str">
        <f t="shared" si="23"/>
        <v/>
      </c>
      <c r="AN59" s="24" t="str">
        <f t="shared" si="23"/>
        <v/>
      </c>
      <c r="AO59" t="str">
        <f>IF($C59="Phase",IF($AR59=0,"",IF(COUNT(E60:INDEX(E$6:E$156,54+$AR59))=0,"",MIN(E60:INDEX(E$6:E$156,54+$AR59)))),IF($E59="","",$E59))</f>
        <v/>
      </c>
      <c r="AP59" t="str">
        <f>IF($C59="Phase",IF($AO59="","",MAX(G60:INDEX(G$6:G$156,54+$AR59))),IF($G59="","",$G59))</f>
        <v/>
      </c>
      <c r="AQ59">
        <f>IF($C59="Phase",IF($AR59=0,0,IF(SUM(F60:INDEX(F$6:F$156,54+$AR59))=0,0,SUMPRODUCT(F60:INDEX(F$6:F$156,54+$AR59),H60:INDEX(H$6:H$156,54+$AR59))/SUM(F60:INDEX(F$6:F$156,54+$AR59)))),N($H59))</f>
        <v>0</v>
      </c>
      <c r="AR59">
        <f>IF($C59&lt;&gt;"Phase",0,IFERROR(MATCH("Phase",$C60:$C$156,0)-1,96))</f>
        <v>0</v>
      </c>
      <c r="AS59" t="str">
        <f t="shared" si="17"/>
        <v/>
      </c>
    </row>
    <row r="60" spans="1:45" x14ac:dyDescent="0.3">
      <c r="A60" s="19"/>
      <c r="B60" s="19"/>
      <c r="C60" s="19"/>
      <c r="D60" s="19"/>
      <c r="E60" s="20"/>
      <c r="F60" s="19"/>
      <c r="G60" s="21" t="str">
        <f>IF($C60="Phase",$AP60,IF(OR($E60="",$F60=""),"",IF(N($F60)&lt;=0,$E60,WORKDAY.INTL($E60,$F60-1,Settings!$B$9,Holidays!$A$4:$A$103))))</f>
        <v/>
      </c>
      <c r="H60" s="22"/>
      <c r="I60" s="23" t="str">
        <f t="shared" ca="1" si="16"/>
        <v/>
      </c>
      <c r="J60" s="19"/>
      <c r="K60" s="24" t="str">
        <f t="shared" si="21"/>
        <v/>
      </c>
      <c r="L60" s="24" t="str">
        <f t="shared" si="21"/>
        <v/>
      </c>
      <c r="M60" s="24" t="str">
        <f t="shared" si="21"/>
        <v/>
      </c>
      <c r="N60" s="24" t="str">
        <f t="shared" si="21"/>
        <v/>
      </c>
      <c r="O60" s="24" t="str">
        <f t="shared" si="21"/>
        <v/>
      </c>
      <c r="P60" s="24" t="str">
        <f t="shared" si="21"/>
        <v/>
      </c>
      <c r="Q60" s="24" t="str">
        <f t="shared" si="21"/>
        <v/>
      </c>
      <c r="R60" s="24" t="str">
        <f t="shared" si="21"/>
        <v/>
      </c>
      <c r="S60" s="24" t="str">
        <f t="shared" si="21"/>
        <v/>
      </c>
      <c r="T60" s="24" t="str">
        <f t="shared" si="21"/>
        <v/>
      </c>
      <c r="U60" s="24" t="str">
        <f t="shared" si="22"/>
        <v/>
      </c>
      <c r="V60" s="24" t="str">
        <f t="shared" si="22"/>
        <v/>
      </c>
      <c r="W60" s="24" t="str">
        <f t="shared" si="22"/>
        <v/>
      </c>
      <c r="X60" s="24" t="str">
        <f t="shared" si="22"/>
        <v/>
      </c>
      <c r="Y60" s="24" t="str">
        <f t="shared" si="22"/>
        <v/>
      </c>
      <c r="Z60" s="24" t="str">
        <f t="shared" si="22"/>
        <v/>
      </c>
      <c r="AA60" s="24" t="str">
        <f t="shared" si="22"/>
        <v/>
      </c>
      <c r="AB60" s="24" t="str">
        <f t="shared" si="22"/>
        <v/>
      </c>
      <c r="AC60" s="24" t="str">
        <f t="shared" si="22"/>
        <v/>
      </c>
      <c r="AD60" s="24" t="str">
        <f t="shared" si="22"/>
        <v/>
      </c>
      <c r="AE60" s="24" t="str">
        <f t="shared" si="23"/>
        <v/>
      </c>
      <c r="AF60" s="24" t="str">
        <f t="shared" si="23"/>
        <v/>
      </c>
      <c r="AG60" s="24" t="str">
        <f t="shared" si="23"/>
        <v/>
      </c>
      <c r="AH60" s="24" t="str">
        <f t="shared" si="23"/>
        <v/>
      </c>
      <c r="AI60" s="24" t="str">
        <f t="shared" si="23"/>
        <v/>
      </c>
      <c r="AJ60" s="24" t="str">
        <f t="shared" si="23"/>
        <v/>
      </c>
      <c r="AK60" s="24" t="str">
        <f t="shared" si="23"/>
        <v/>
      </c>
      <c r="AL60" s="24" t="str">
        <f t="shared" si="23"/>
        <v/>
      </c>
      <c r="AM60" s="24" t="str">
        <f t="shared" si="23"/>
        <v/>
      </c>
      <c r="AN60" s="24" t="str">
        <f t="shared" si="23"/>
        <v/>
      </c>
      <c r="AO60" t="str">
        <f>IF($C60="Phase",IF($AR60=0,"",IF(COUNT(E61:INDEX(E$6:E$156,55+$AR60))=0,"",MIN(E61:INDEX(E$6:E$156,55+$AR60)))),IF($E60="","",$E60))</f>
        <v/>
      </c>
      <c r="AP60" t="str">
        <f>IF($C60="Phase",IF($AO60="","",MAX(G61:INDEX(G$6:G$156,55+$AR60))),IF($G60="","",$G60))</f>
        <v/>
      </c>
      <c r="AQ60">
        <f>IF($C60="Phase",IF($AR60=0,0,IF(SUM(F61:INDEX(F$6:F$156,55+$AR60))=0,0,SUMPRODUCT(F61:INDEX(F$6:F$156,55+$AR60),H61:INDEX(H$6:H$156,55+$AR60))/SUM(F61:INDEX(F$6:F$156,55+$AR60)))),N($H60))</f>
        <v>0</v>
      </c>
      <c r="AR60">
        <f>IF($C60&lt;&gt;"Phase",0,IFERROR(MATCH("Phase",$C61:$C$156,0)-1,95))</f>
        <v>0</v>
      </c>
      <c r="AS60" t="str">
        <f t="shared" si="17"/>
        <v/>
      </c>
    </row>
    <row r="61" spans="1:45" x14ac:dyDescent="0.3">
      <c r="A61" s="19"/>
      <c r="B61" s="19"/>
      <c r="C61" s="19"/>
      <c r="D61" s="19"/>
      <c r="E61" s="20"/>
      <c r="F61" s="19"/>
      <c r="G61" s="21" t="str">
        <f>IF($C61="Phase",$AP61,IF(OR($E61="",$F61=""),"",IF(N($F61)&lt;=0,$E61,WORKDAY.INTL($E61,$F61-1,Settings!$B$9,Holidays!$A$4:$A$103))))</f>
        <v/>
      </c>
      <c r="H61" s="22"/>
      <c r="I61" s="23" t="str">
        <f t="shared" ca="1" si="16"/>
        <v/>
      </c>
      <c r="J61" s="19"/>
      <c r="K61" s="24" t="str">
        <f t="shared" si="21"/>
        <v/>
      </c>
      <c r="L61" s="24" t="str">
        <f t="shared" si="21"/>
        <v/>
      </c>
      <c r="M61" s="24" t="str">
        <f t="shared" si="21"/>
        <v/>
      </c>
      <c r="N61" s="24" t="str">
        <f t="shared" si="21"/>
        <v/>
      </c>
      <c r="O61" s="24" t="str">
        <f t="shared" si="21"/>
        <v/>
      </c>
      <c r="P61" s="24" t="str">
        <f t="shared" si="21"/>
        <v/>
      </c>
      <c r="Q61" s="24" t="str">
        <f t="shared" si="21"/>
        <v/>
      </c>
      <c r="R61" s="24" t="str">
        <f t="shared" si="21"/>
        <v/>
      </c>
      <c r="S61" s="24" t="str">
        <f t="shared" si="21"/>
        <v/>
      </c>
      <c r="T61" s="24" t="str">
        <f t="shared" si="21"/>
        <v/>
      </c>
      <c r="U61" s="24" t="str">
        <f t="shared" si="22"/>
        <v/>
      </c>
      <c r="V61" s="24" t="str">
        <f t="shared" si="22"/>
        <v/>
      </c>
      <c r="W61" s="24" t="str">
        <f t="shared" si="22"/>
        <v/>
      </c>
      <c r="X61" s="24" t="str">
        <f t="shared" si="22"/>
        <v/>
      </c>
      <c r="Y61" s="24" t="str">
        <f t="shared" si="22"/>
        <v/>
      </c>
      <c r="Z61" s="24" t="str">
        <f t="shared" si="22"/>
        <v/>
      </c>
      <c r="AA61" s="24" t="str">
        <f t="shared" si="22"/>
        <v/>
      </c>
      <c r="AB61" s="24" t="str">
        <f t="shared" si="22"/>
        <v/>
      </c>
      <c r="AC61" s="24" t="str">
        <f t="shared" si="22"/>
        <v/>
      </c>
      <c r="AD61" s="24" t="str">
        <f t="shared" si="22"/>
        <v/>
      </c>
      <c r="AE61" s="24" t="str">
        <f t="shared" si="23"/>
        <v/>
      </c>
      <c r="AF61" s="24" t="str">
        <f t="shared" si="23"/>
        <v/>
      </c>
      <c r="AG61" s="24" t="str">
        <f t="shared" si="23"/>
        <v/>
      </c>
      <c r="AH61" s="24" t="str">
        <f t="shared" si="23"/>
        <v/>
      </c>
      <c r="AI61" s="24" t="str">
        <f t="shared" si="23"/>
        <v/>
      </c>
      <c r="AJ61" s="24" t="str">
        <f t="shared" si="23"/>
        <v/>
      </c>
      <c r="AK61" s="24" t="str">
        <f t="shared" si="23"/>
        <v/>
      </c>
      <c r="AL61" s="24" t="str">
        <f t="shared" si="23"/>
        <v/>
      </c>
      <c r="AM61" s="24" t="str">
        <f t="shared" si="23"/>
        <v/>
      </c>
      <c r="AN61" s="24" t="str">
        <f t="shared" si="23"/>
        <v/>
      </c>
      <c r="AO61" t="str">
        <f>IF($C61="Phase",IF($AR61=0,"",IF(COUNT(E62:INDEX(E$6:E$156,56+$AR61))=0,"",MIN(E62:INDEX(E$6:E$156,56+$AR61)))),IF($E61="","",$E61))</f>
        <v/>
      </c>
      <c r="AP61" t="str">
        <f>IF($C61="Phase",IF($AO61="","",MAX(G62:INDEX(G$6:G$156,56+$AR61))),IF($G61="","",$G61))</f>
        <v/>
      </c>
      <c r="AQ61">
        <f>IF($C61="Phase",IF($AR61=0,0,IF(SUM(F62:INDEX(F$6:F$156,56+$AR61))=0,0,SUMPRODUCT(F62:INDEX(F$6:F$156,56+$AR61),H62:INDEX(H$6:H$156,56+$AR61))/SUM(F62:INDEX(F$6:F$156,56+$AR61)))),N($H61))</f>
        <v>0</v>
      </c>
      <c r="AR61">
        <f>IF($C61&lt;&gt;"Phase",0,IFERROR(MATCH("Phase",$C62:$C$156,0)-1,94))</f>
        <v>0</v>
      </c>
      <c r="AS61" t="str">
        <f t="shared" si="17"/>
        <v/>
      </c>
    </row>
    <row r="62" spans="1:45" x14ac:dyDescent="0.3">
      <c r="A62" s="19"/>
      <c r="B62" s="19"/>
      <c r="C62" s="19"/>
      <c r="D62" s="19"/>
      <c r="E62" s="20"/>
      <c r="F62" s="19"/>
      <c r="G62" s="21" t="str">
        <f>IF($C62="Phase",$AP62,IF(OR($E62="",$F62=""),"",IF(N($F62)&lt;=0,$E62,WORKDAY.INTL($E62,$F62-1,Settings!$B$9,Holidays!$A$4:$A$103))))</f>
        <v/>
      </c>
      <c r="H62" s="22"/>
      <c r="I62" s="23" t="str">
        <f t="shared" ca="1" si="16"/>
        <v/>
      </c>
      <c r="J62" s="19"/>
      <c r="K62" s="24" t="str">
        <f t="shared" si="21"/>
        <v/>
      </c>
      <c r="L62" s="24" t="str">
        <f t="shared" si="21"/>
        <v/>
      </c>
      <c r="M62" s="24" t="str">
        <f t="shared" si="21"/>
        <v/>
      </c>
      <c r="N62" s="24" t="str">
        <f t="shared" si="21"/>
        <v/>
      </c>
      <c r="O62" s="24" t="str">
        <f t="shared" si="21"/>
        <v/>
      </c>
      <c r="P62" s="24" t="str">
        <f t="shared" si="21"/>
        <v/>
      </c>
      <c r="Q62" s="24" t="str">
        <f t="shared" si="21"/>
        <v/>
      </c>
      <c r="R62" s="24" t="str">
        <f t="shared" si="21"/>
        <v/>
      </c>
      <c r="S62" s="24" t="str">
        <f t="shared" si="21"/>
        <v/>
      </c>
      <c r="T62" s="24" t="str">
        <f t="shared" si="21"/>
        <v/>
      </c>
      <c r="U62" s="24" t="str">
        <f t="shared" si="22"/>
        <v/>
      </c>
      <c r="V62" s="24" t="str">
        <f t="shared" si="22"/>
        <v/>
      </c>
      <c r="W62" s="24" t="str">
        <f t="shared" si="22"/>
        <v/>
      </c>
      <c r="X62" s="24" t="str">
        <f t="shared" si="22"/>
        <v/>
      </c>
      <c r="Y62" s="24" t="str">
        <f t="shared" si="22"/>
        <v/>
      </c>
      <c r="Z62" s="24" t="str">
        <f t="shared" si="22"/>
        <v/>
      </c>
      <c r="AA62" s="24" t="str">
        <f t="shared" si="22"/>
        <v/>
      </c>
      <c r="AB62" s="24" t="str">
        <f t="shared" si="22"/>
        <v/>
      </c>
      <c r="AC62" s="24" t="str">
        <f t="shared" si="22"/>
        <v/>
      </c>
      <c r="AD62" s="24" t="str">
        <f t="shared" si="22"/>
        <v/>
      </c>
      <c r="AE62" s="24" t="str">
        <f t="shared" si="23"/>
        <v/>
      </c>
      <c r="AF62" s="24" t="str">
        <f t="shared" si="23"/>
        <v/>
      </c>
      <c r="AG62" s="24" t="str">
        <f t="shared" si="23"/>
        <v/>
      </c>
      <c r="AH62" s="24" t="str">
        <f t="shared" si="23"/>
        <v/>
      </c>
      <c r="AI62" s="24" t="str">
        <f t="shared" si="23"/>
        <v/>
      </c>
      <c r="AJ62" s="24" t="str">
        <f t="shared" si="23"/>
        <v/>
      </c>
      <c r="AK62" s="24" t="str">
        <f t="shared" si="23"/>
        <v/>
      </c>
      <c r="AL62" s="24" t="str">
        <f t="shared" si="23"/>
        <v/>
      </c>
      <c r="AM62" s="24" t="str">
        <f t="shared" si="23"/>
        <v/>
      </c>
      <c r="AN62" s="24" t="str">
        <f t="shared" si="23"/>
        <v/>
      </c>
      <c r="AO62" t="str">
        <f>IF($C62="Phase",IF($AR62=0,"",IF(COUNT(E63:INDEX(E$6:E$156,57+$AR62))=0,"",MIN(E63:INDEX(E$6:E$156,57+$AR62)))),IF($E62="","",$E62))</f>
        <v/>
      </c>
      <c r="AP62" t="str">
        <f>IF($C62="Phase",IF($AO62="","",MAX(G63:INDEX(G$6:G$156,57+$AR62))),IF($G62="","",$G62))</f>
        <v/>
      </c>
      <c r="AQ62">
        <f>IF($C62="Phase",IF($AR62=0,0,IF(SUM(F63:INDEX(F$6:F$156,57+$AR62))=0,0,SUMPRODUCT(F63:INDEX(F$6:F$156,57+$AR62),H63:INDEX(H$6:H$156,57+$AR62))/SUM(F63:INDEX(F$6:F$156,57+$AR62)))),N($H62))</f>
        <v>0</v>
      </c>
      <c r="AR62">
        <f>IF($C62&lt;&gt;"Phase",0,IFERROR(MATCH("Phase",$C63:$C$156,0)-1,93))</f>
        <v>0</v>
      </c>
      <c r="AS62" t="str">
        <f t="shared" si="17"/>
        <v/>
      </c>
    </row>
    <row r="63" spans="1:45" x14ac:dyDescent="0.3">
      <c r="A63" s="19"/>
      <c r="B63" s="19"/>
      <c r="C63" s="19"/>
      <c r="D63" s="19"/>
      <c r="E63" s="20"/>
      <c r="F63" s="19"/>
      <c r="G63" s="21" t="str">
        <f>IF($C63="Phase",$AP63,IF(OR($E63="",$F63=""),"",IF(N($F63)&lt;=0,$E63,WORKDAY.INTL($E63,$F63-1,Settings!$B$9,Holidays!$A$4:$A$103))))</f>
        <v/>
      </c>
      <c r="H63" s="22"/>
      <c r="I63" s="23" t="str">
        <f t="shared" ca="1" si="16"/>
        <v/>
      </c>
      <c r="J63" s="19"/>
      <c r="K63" s="24" t="str">
        <f t="shared" si="21"/>
        <v/>
      </c>
      <c r="L63" s="24" t="str">
        <f t="shared" si="21"/>
        <v/>
      </c>
      <c r="M63" s="24" t="str">
        <f t="shared" si="21"/>
        <v/>
      </c>
      <c r="N63" s="24" t="str">
        <f t="shared" si="21"/>
        <v/>
      </c>
      <c r="O63" s="24" t="str">
        <f t="shared" si="21"/>
        <v/>
      </c>
      <c r="P63" s="24" t="str">
        <f t="shared" si="21"/>
        <v/>
      </c>
      <c r="Q63" s="24" t="str">
        <f t="shared" si="21"/>
        <v/>
      </c>
      <c r="R63" s="24" t="str">
        <f t="shared" si="21"/>
        <v/>
      </c>
      <c r="S63" s="24" t="str">
        <f t="shared" si="21"/>
        <v/>
      </c>
      <c r="T63" s="24" t="str">
        <f t="shared" si="21"/>
        <v/>
      </c>
      <c r="U63" s="24" t="str">
        <f t="shared" si="22"/>
        <v/>
      </c>
      <c r="V63" s="24" t="str">
        <f t="shared" si="22"/>
        <v/>
      </c>
      <c r="W63" s="24" t="str">
        <f t="shared" si="22"/>
        <v/>
      </c>
      <c r="X63" s="24" t="str">
        <f t="shared" si="22"/>
        <v/>
      </c>
      <c r="Y63" s="24" t="str">
        <f t="shared" si="22"/>
        <v/>
      </c>
      <c r="Z63" s="24" t="str">
        <f t="shared" si="22"/>
        <v/>
      </c>
      <c r="AA63" s="24" t="str">
        <f t="shared" si="22"/>
        <v/>
      </c>
      <c r="AB63" s="24" t="str">
        <f t="shared" si="22"/>
        <v/>
      </c>
      <c r="AC63" s="24" t="str">
        <f t="shared" si="22"/>
        <v/>
      </c>
      <c r="AD63" s="24" t="str">
        <f t="shared" si="22"/>
        <v/>
      </c>
      <c r="AE63" s="24" t="str">
        <f t="shared" si="23"/>
        <v/>
      </c>
      <c r="AF63" s="24" t="str">
        <f t="shared" si="23"/>
        <v/>
      </c>
      <c r="AG63" s="24" t="str">
        <f t="shared" si="23"/>
        <v/>
      </c>
      <c r="AH63" s="24" t="str">
        <f t="shared" si="23"/>
        <v/>
      </c>
      <c r="AI63" s="24" t="str">
        <f t="shared" si="23"/>
        <v/>
      </c>
      <c r="AJ63" s="24" t="str">
        <f t="shared" si="23"/>
        <v/>
      </c>
      <c r="AK63" s="24" t="str">
        <f t="shared" si="23"/>
        <v/>
      </c>
      <c r="AL63" s="24" t="str">
        <f t="shared" si="23"/>
        <v/>
      </c>
      <c r="AM63" s="24" t="str">
        <f t="shared" si="23"/>
        <v/>
      </c>
      <c r="AN63" s="24" t="str">
        <f t="shared" si="23"/>
        <v/>
      </c>
      <c r="AO63" t="str">
        <f>IF($C63="Phase",IF($AR63=0,"",IF(COUNT(E64:INDEX(E$6:E$156,58+$AR63))=0,"",MIN(E64:INDEX(E$6:E$156,58+$AR63)))),IF($E63="","",$E63))</f>
        <v/>
      </c>
      <c r="AP63" t="str">
        <f>IF($C63="Phase",IF($AO63="","",MAX(G64:INDEX(G$6:G$156,58+$AR63))),IF($G63="","",$G63))</f>
        <v/>
      </c>
      <c r="AQ63">
        <f>IF($C63="Phase",IF($AR63=0,0,IF(SUM(F64:INDEX(F$6:F$156,58+$AR63))=0,0,SUMPRODUCT(F64:INDEX(F$6:F$156,58+$AR63),H64:INDEX(H$6:H$156,58+$AR63))/SUM(F64:INDEX(F$6:F$156,58+$AR63)))),N($H63))</f>
        <v>0</v>
      </c>
      <c r="AR63">
        <f>IF($C63&lt;&gt;"Phase",0,IFERROR(MATCH("Phase",$C64:$C$156,0)-1,92))</f>
        <v>0</v>
      </c>
      <c r="AS63" t="str">
        <f t="shared" si="17"/>
        <v/>
      </c>
    </row>
    <row r="64" spans="1:45" x14ac:dyDescent="0.3">
      <c r="A64" s="19"/>
      <c r="B64" s="19"/>
      <c r="C64" s="19"/>
      <c r="D64" s="19"/>
      <c r="E64" s="20"/>
      <c r="F64" s="19"/>
      <c r="G64" s="21" t="str">
        <f>IF($C64="Phase",$AP64,IF(OR($E64="",$F64=""),"",IF(N($F64)&lt;=0,$E64,WORKDAY.INTL($E64,$F64-1,Settings!$B$9,Holidays!$A$4:$A$103))))</f>
        <v/>
      </c>
      <c r="H64" s="22"/>
      <c r="I64" s="23" t="str">
        <f t="shared" ca="1" si="16"/>
        <v/>
      </c>
      <c r="J64" s="19"/>
      <c r="K64" s="24" t="str">
        <f t="shared" si="21"/>
        <v/>
      </c>
      <c r="L64" s="24" t="str">
        <f t="shared" si="21"/>
        <v/>
      </c>
      <c r="M64" s="24" t="str">
        <f t="shared" si="21"/>
        <v/>
      </c>
      <c r="N64" s="24" t="str">
        <f t="shared" si="21"/>
        <v/>
      </c>
      <c r="O64" s="24" t="str">
        <f t="shared" si="21"/>
        <v/>
      </c>
      <c r="P64" s="24" t="str">
        <f t="shared" si="21"/>
        <v/>
      </c>
      <c r="Q64" s="24" t="str">
        <f t="shared" si="21"/>
        <v/>
      </c>
      <c r="R64" s="24" t="str">
        <f t="shared" si="21"/>
        <v/>
      </c>
      <c r="S64" s="24" t="str">
        <f t="shared" si="21"/>
        <v/>
      </c>
      <c r="T64" s="24" t="str">
        <f t="shared" si="21"/>
        <v/>
      </c>
      <c r="U64" s="24" t="str">
        <f t="shared" si="22"/>
        <v/>
      </c>
      <c r="V64" s="24" t="str">
        <f t="shared" si="22"/>
        <v/>
      </c>
      <c r="W64" s="24" t="str">
        <f t="shared" si="22"/>
        <v/>
      </c>
      <c r="X64" s="24" t="str">
        <f t="shared" si="22"/>
        <v/>
      </c>
      <c r="Y64" s="24" t="str">
        <f t="shared" si="22"/>
        <v/>
      </c>
      <c r="Z64" s="24" t="str">
        <f t="shared" si="22"/>
        <v/>
      </c>
      <c r="AA64" s="24" t="str">
        <f t="shared" si="22"/>
        <v/>
      </c>
      <c r="AB64" s="24" t="str">
        <f t="shared" si="22"/>
        <v/>
      </c>
      <c r="AC64" s="24" t="str">
        <f t="shared" si="22"/>
        <v/>
      </c>
      <c r="AD64" s="24" t="str">
        <f t="shared" si="22"/>
        <v/>
      </c>
      <c r="AE64" s="24" t="str">
        <f t="shared" si="23"/>
        <v/>
      </c>
      <c r="AF64" s="24" t="str">
        <f t="shared" si="23"/>
        <v/>
      </c>
      <c r="AG64" s="24" t="str">
        <f t="shared" si="23"/>
        <v/>
      </c>
      <c r="AH64" s="24" t="str">
        <f t="shared" si="23"/>
        <v/>
      </c>
      <c r="AI64" s="24" t="str">
        <f t="shared" si="23"/>
        <v/>
      </c>
      <c r="AJ64" s="24" t="str">
        <f t="shared" si="23"/>
        <v/>
      </c>
      <c r="AK64" s="24" t="str">
        <f t="shared" si="23"/>
        <v/>
      </c>
      <c r="AL64" s="24" t="str">
        <f t="shared" si="23"/>
        <v/>
      </c>
      <c r="AM64" s="24" t="str">
        <f t="shared" si="23"/>
        <v/>
      </c>
      <c r="AN64" s="24" t="str">
        <f t="shared" si="23"/>
        <v/>
      </c>
      <c r="AO64" t="str">
        <f>IF($C64="Phase",IF($AR64=0,"",IF(COUNT(E65:INDEX(E$6:E$156,59+$AR64))=0,"",MIN(E65:INDEX(E$6:E$156,59+$AR64)))),IF($E64="","",$E64))</f>
        <v/>
      </c>
      <c r="AP64" t="str">
        <f>IF($C64="Phase",IF($AO64="","",MAX(G65:INDEX(G$6:G$156,59+$AR64))),IF($G64="","",$G64))</f>
        <v/>
      </c>
      <c r="AQ64">
        <f>IF($C64="Phase",IF($AR64=0,0,IF(SUM(F65:INDEX(F$6:F$156,59+$AR64))=0,0,SUMPRODUCT(F65:INDEX(F$6:F$156,59+$AR64),H65:INDEX(H$6:H$156,59+$AR64))/SUM(F65:INDEX(F$6:F$156,59+$AR64)))),N($H64))</f>
        <v>0</v>
      </c>
      <c r="AR64">
        <f>IF($C64&lt;&gt;"Phase",0,IFERROR(MATCH("Phase",$C65:$C$156,0)-1,91))</f>
        <v>0</v>
      </c>
      <c r="AS64" t="str">
        <f t="shared" si="17"/>
        <v/>
      </c>
    </row>
    <row r="65" spans="1:45" x14ac:dyDescent="0.3">
      <c r="A65" s="19"/>
      <c r="B65" s="19"/>
      <c r="C65" s="19"/>
      <c r="D65" s="19"/>
      <c r="E65" s="20"/>
      <c r="F65" s="19"/>
      <c r="G65" s="21" t="str">
        <f>IF($C65="Phase",$AP65,IF(OR($E65="",$F65=""),"",IF(N($F65)&lt;=0,$E65,WORKDAY.INTL($E65,$F65-1,Settings!$B$9,Holidays!$A$4:$A$103))))</f>
        <v/>
      </c>
      <c r="H65" s="22"/>
      <c r="I65" s="23" t="str">
        <f t="shared" ca="1" si="16"/>
        <v/>
      </c>
      <c r="J65" s="19"/>
      <c r="K65" s="24" t="str">
        <f t="shared" si="21"/>
        <v/>
      </c>
      <c r="L65" s="24" t="str">
        <f t="shared" si="21"/>
        <v/>
      </c>
      <c r="M65" s="24" t="str">
        <f t="shared" si="21"/>
        <v/>
      </c>
      <c r="N65" s="24" t="str">
        <f t="shared" si="21"/>
        <v/>
      </c>
      <c r="O65" s="24" t="str">
        <f t="shared" si="21"/>
        <v/>
      </c>
      <c r="P65" s="24" t="str">
        <f t="shared" si="21"/>
        <v/>
      </c>
      <c r="Q65" s="24" t="str">
        <f t="shared" si="21"/>
        <v/>
      </c>
      <c r="R65" s="24" t="str">
        <f t="shared" si="21"/>
        <v/>
      </c>
      <c r="S65" s="24" t="str">
        <f t="shared" si="21"/>
        <v/>
      </c>
      <c r="T65" s="24" t="str">
        <f t="shared" si="21"/>
        <v/>
      </c>
      <c r="U65" s="24" t="str">
        <f t="shared" si="22"/>
        <v/>
      </c>
      <c r="V65" s="24" t="str">
        <f t="shared" si="22"/>
        <v/>
      </c>
      <c r="W65" s="24" t="str">
        <f t="shared" si="22"/>
        <v/>
      </c>
      <c r="X65" s="24" t="str">
        <f t="shared" si="22"/>
        <v/>
      </c>
      <c r="Y65" s="24" t="str">
        <f t="shared" si="22"/>
        <v/>
      </c>
      <c r="Z65" s="24" t="str">
        <f t="shared" si="22"/>
        <v/>
      </c>
      <c r="AA65" s="24" t="str">
        <f t="shared" si="22"/>
        <v/>
      </c>
      <c r="AB65" s="24" t="str">
        <f t="shared" si="22"/>
        <v/>
      </c>
      <c r="AC65" s="24" t="str">
        <f t="shared" si="22"/>
        <v/>
      </c>
      <c r="AD65" s="24" t="str">
        <f t="shared" si="22"/>
        <v/>
      </c>
      <c r="AE65" s="24" t="str">
        <f t="shared" si="23"/>
        <v/>
      </c>
      <c r="AF65" s="24" t="str">
        <f t="shared" si="23"/>
        <v/>
      </c>
      <c r="AG65" s="24" t="str">
        <f t="shared" si="23"/>
        <v/>
      </c>
      <c r="AH65" s="24" t="str">
        <f t="shared" si="23"/>
        <v/>
      </c>
      <c r="AI65" s="24" t="str">
        <f t="shared" si="23"/>
        <v/>
      </c>
      <c r="AJ65" s="24" t="str">
        <f t="shared" si="23"/>
        <v/>
      </c>
      <c r="AK65" s="24" t="str">
        <f t="shared" si="23"/>
        <v/>
      </c>
      <c r="AL65" s="24" t="str">
        <f t="shared" si="23"/>
        <v/>
      </c>
      <c r="AM65" s="24" t="str">
        <f t="shared" si="23"/>
        <v/>
      </c>
      <c r="AN65" s="24" t="str">
        <f t="shared" si="23"/>
        <v/>
      </c>
      <c r="AO65" t="str">
        <f>IF($C65="Phase",IF($AR65=0,"",IF(COUNT(E66:INDEX(E$6:E$156,60+$AR65))=0,"",MIN(E66:INDEX(E$6:E$156,60+$AR65)))),IF($E65="","",$E65))</f>
        <v/>
      </c>
      <c r="AP65" t="str">
        <f>IF($C65="Phase",IF($AO65="","",MAX(G66:INDEX(G$6:G$156,60+$AR65))),IF($G65="","",$G65))</f>
        <v/>
      </c>
      <c r="AQ65">
        <f>IF($C65="Phase",IF($AR65=0,0,IF(SUM(F66:INDEX(F$6:F$156,60+$AR65))=0,0,SUMPRODUCT(F66:INDEX(F$6:F$156,60+$AR65),H66:INDEX(H$6:H$156,60+$AR65))/SUM(F66:INDEX(F$6:F$156,60+$AR65)))),N($H65))</f>
        <v>0</v>
      </c>
      <c r="AR65">
        <f>IF($C65&lt;&gt;"Phase",0,IFERROR(MATCH("Phase",$C66:$C$156,0)-1,90))</f>
        <v>0</v>
      </c>
      <c r="AS65" t="str">
        <f t="shared" si="17"/>
        <v/>
      </c>
    </row>
    <row r="66" spans="1:45" x14ac:dyDescent="0.3">
      <c r="A66" s="19"/>
      <c r="B66" s="19"/>
      <c r="C66" s="19"/>
      <c r="D66" s="19"/>
      <c r="E66" s="20"/>
      <c r="F66" s="19"/>
      <c r="G66" s="21" t="str">
        <f>IF($C66="Phase",$AP66,IF(OR($E66="",$F66=""),"",IF(N($F66)&lt;=0,$E66,WORKDAY.INTL($E66,$F66-1,Settings!$B$9,Holidays!$A$4:$A$103))))</f>
        <v/>
      </c>
      <c r="H66" s="22"/>
      <c r="I66" s="23" t="str">
        <f t="shared" ca="1" si="16"/>
        <v/>
      </c>
      <c r="J66" s="19"/>
      <c r="K66" s="24" t="str">
        <f t="shared" ref="K66:T75" si="24">IF(AND($C66="Milestone",$AP66&lt;&gt;""),IF(AND($AP66&gt;=K$5,$AP66&lt;K$5+$AO$3),"◆",""),"")</f>
        <v/>
      </c>
      <c r="L66" s="24" t="str">
        <f t="shared" si="24"/>
        <v/>
      </c>
      <c r="M66" s="24" t="str">
        <f t="shared" si="24"/>
        <v/>
      </c>
      <c r="N66" s="24" t="str">
        <f t="shared" si="24"/>
        <v/>
      </c>
      <c r="O66" s="24" t="str">
        <f t="shared" si="24"/>
        <v/>
      </c>
      <c r="P66" s="24" t="str">
        <f t="shared" si="24"/>
        <v/>
      </c>
      <c r="Q66" s="24" t="str">
        <f t="shared" si="24"/>
        <v/>
      </c>
      <c r="R66" s="24" t="str">
        <f t="shared" si="24"/>
        <v/>
      </c>
      <c r="S66" s="24" t="str">
        <f t="shared" si="24"/>
        <v/>
      </c>
      <c r="T66" s="24" t="str">
        <f t="shared" si="24"/>
        <v/>
      </c>
      <c r="U66" s="24" t="str">
        <f t="shared" ref="U66:AD75" si="25">IF(AND($C66="Milestone",$AP66&lt;&gt;""),IF(AND($AP66&gt;=U$5,$AP66&lt;U$5+$AO$3),"◆",""),"")</f>
        <v/>
      </c>
      <c r="V66" s="24" t="str">
        <f t="shared" si="25"/>
        <v/>
      </c>
      <c r="W66" s="24" t="str">
        <f t="shared" si="25"/>
        <v/>
      </c>
      <c r="X66" s="24" t="str">
        <f t="shared" si="25"/>
        <v/>
      </c>
      <c r="Y66" s="24" t="str">
        <f t="shared" si="25"/>
        <v/>
      </c>
      <c r="Z66" s="24" t="str">
        <f t="shared" si="25"/>
        <v/>
      </c>
      <c r="AA66" s="24" t="str">
        <f t="shared" si="25"/>
        <v/>
      </c>
      <c r="AB66" s="24" t="str">
        <f t="shared" si="25"/>
        <v/>
      </c>
      <c r="AC66" s="24" t="str">
        <f t="shared" si="25"/>
        <v/>
      </c>
      <c r="AD66" s="24" t="str">
        <f t="shared" si="25"/>
        <v/>
      </c>
      <c r="AE66" s="24" t="str">
        <f t="shared" ref="AE66:AN75" si="26">IF(AND($C66="Milestone",$AP66&lt;&gt;""),IF(AND($AP66&gt;=AE$5,$AP66&lt;AE$5+$AO$3),"◆",""),"")</f>
        <v/>
      </c>
      <c r="AF66" s="24" t="str">
        <f t="shared" si="26"/>
        <v/>
      </c>
      <c r="AG66" s="24" t="str">
        <f t="shared" si="26"/>
        <v/>
      </c>
      <c r="AH66" s="24" t="str">
        <f t="shared" si="26"/>
        <v/>
      </c>
      <c r="AI66" s="24" t="str">
        <f t="shared" si="26"/>
        <v/>
      </c>
      <c r="AJ66" s="24" t="str">
        <f t="shared" si="26"/>
        <v/>
      </c>
      <c r="AK66" s="24" t="str">
        <f t="shared" si="26"/>
        <v/>
      </c>
      <c r="AL66" s="24" t="str">
        <f t="shared" si="26"/>
        <v/>
      </c>
      <c r="AM66" s="24" t="str">
        <f t="shared" si="26"/>
        <v/>
      </c>
      <c r="AN66" s="24" t="str">
        <f t="shared" si="26"/>
        <v/>
      </c>
      <c r="AO66" t="str">
        <f>IF($C66="Phase",IF($AR66=0,"",IF(COUNT(E67:INDEX(E$6:E$156,61+$AR66))=0,"",MIN(E67:INDEX(E$6:E$156,61+$AR66)))),IF($E66="","",$E66))</f>
        <v/>
      </c>
      <c r="AP66" t="str">
        <f>IF($C66="Phase",IF($AO66="","",MAX(G67:INDEX(G$6:G$156,61+$AR66))),IF($G66="","",$G66))</f>
        <v/>
      </c>
      <c r="AQ66">
        <f>IF($C66="Phase",IF($AR66=0,0,IF(SUM(F67:INDEX(F$6:F$156,61+$AR66))=0,0,SUMPRODUCT(F67:INDEX(F$6:F$156,61+$AR66),H67:INDEX(H$6:H$156,61+$AR66))/SUM(F67:INDEX(F$6:F$156,61+$AR66)))),N($H66))</f>
        <v>0</v>
      </c>
      <c r="AR66">
        <f>IF($C66&lt;&gt;"Phase",0,IFERROR(MATCH("Phase",$C67:$C$156,0)-1,89))</f>
        <v>0</v>
      </c>
      <c r="AS66" t="str">
        <f t="shared" si="17"/>
        <v/>
      </c>
    </row>
    <row r="67" spans="1:45" x14ac:dyDescent="0.3">
      <c r="A67" s="19"/>
      <c r="B67" s="19"/>
      <c r="C67" s="19"/>
      <c r="D67" s="19"/>
      <c r="E67" s="20"/>
      <c r="F67" s="19"/>
      <c r="G67" s="21" t="str">
        <f>IF($C67="Phase",$AP67,IF(OR($E67="",$F67=""),"",IF(N($F67)&lt;=0,$E67,WORKDAY.INTL($E67,$F67-1,Settings!$B$9,Holidays!$A$4:$A$103))))</f>
        <v/>
      </c>
      <c r="H67" s="22"/>
      <c r="I67" s="23" t="str">
        <f t="shared" ca="1" si="16"/>
        <v/>
      </c>
      <c r="J67" s="19"/>
      <c r="K67" s="24" t="str">
        <f t="shared" si="24"/>
        <v/>
      </c>
      <c r="L67" s="24" t="str">
        <f t="shared" si="24"/>
        <v/>
      </c>
      <c r="M67" s="24" t="str">
        <f t="shared" si="24"/>
        <v/>
      </c>
      <c r="N67" s="24" t="str">
        <f t="shared" si="24"/>
        <v/>
      </c>
      <c r="O67" s="24" t="str">
        <f t="shared" si="24"/>
        <v/>
      </c>
      <c r="P67" s="24" t="str">
        <f t="shared" si="24"/>
        <v/>
      </c>
      <c r="Q67" s="24" t="str">
        <f t="shared" si="24"/>
        <v/>
      </c>
      <c r="R67" s="24" t="str">
        <f t="shared" si="24"/>
        <v/>
      </c>
      <c r="S67" s="24" t="str">
        <f t="shared" si="24"/>
        <v/>
      </c>
      <c r="T67" s="24" t="str">
        <f t="shared" si="24"/>
        <v/>
      </c>
      <c r="U67" s="24" t="str">
        <f t="shared" si="25"/>
        <v/>
      </c>
      <c r="V67" s="24" t="str">
        <f t="shared" si="25"/>
        <v/>
      </c>
      <c r="W67" s="24" t="str">
        <f t="shared" si="25"/>
        <v/>
      </c>
      <c r="X67" s="24" t="str">
        <f t="shared" si="25"/>
        <v/>
      </c>
      <c r="Y67" s="24" t="str">
        <f t="shared" si="25"/>
        <v/>
      </c>
      <c r="Z67" s="24" t="str">
        <f t="shared" si="25"/>
        <v/>
      </c>
      <c r="AA67" s="24" t="str">
        <f t="shared" si="25"/>
        <v/>
      </c>
      <c r="AB67" s="24" t="str">
        <f t="shared" si="25"/>
        <v/>
      </c>
      <c r="AC67" s="24" t="str">
        <f t="shared" si="25"/>
        <v/>
      </c>
      <c r="AD67" s="24" t="str">
        <f t="shared" si="25"/>
        <v/>
      </c>
      <c r="AE67" s="24" t="str">
        <f t="shared" si="26"/>
        <v/>
      </c>
      <c r="AF67" s="24" t="str">
        <f t="shared" si="26"/>
        <v/>
      </c>
      <c r="AG67" s="24" t="str">
        <f t="shared" si="26"/>
        <v/>
      </c>
      <c r="AH67" s="24" t="str">
        <f t="shared" si="26"/>
        <v/>
      </c>
      <c r="AI67" s="24" t="str">
        <f t="shared" si="26"/>
        <v/>
      </c>
      <c r="AJ67" s="24" t="str">
        <f t="shared" si="26"/>
        <v/>
      </c>
      <c r="AK67" s="24" t="str">
        <f t="shared" si="26"/>
        <v/>
      </c>
      <c r="AL67" s="24" t="str">
        <f t="shared" si="26"/>
        <v/>
      </c>
      <c r="AM67" s="24" t="str">
        <f t="shared" si="26"/>
        <v/>
      </c>
      <c r="AN67" s="24" t="str">
        <f t="shared" si="26"/>
        <v/>
      </c>
      <c r="AO67" t="str">
        <f>IF($C67="Phase",IF($AR67=0,"",IF(COUNT(E68:INDEX(E$6:E$156,62+$AR67))=0,"",MIN(E68:INDEX(E$6:E$156,62+$AR67)))),IF($E67="","",$E67))</f>
        <v/>
      </c>
      <c r="AP67" t="str">
        <f>IF($C67="Phase",IF($AO67="","",MAX(G68:INDEX(G$6:G$156,62+$AR67))),IF($G67="","",$G67))</f>
        <v/>
      </c>
      <c r="AQ67">
        <f>IF($C67="Phase",IF($AR67=0,0,IF(SUM(F68:INDEX(F$6:F$156,62+$AR67))=0,0,SUMPRODUCT(F68:INDEX(F$6:F$156,62+$AR67),H68:INDEX(H$6:H$156,62+$AR67))/SUM(F68:INDEX(F$6:F$156,62+$AR67)))),N($H67))</f>
        <v>0</v>
      </c>
      <c r="AR67">
        <f>IF($C67&lt;&gt;"Phase",0,IFERROR(MATCH("Phase",$C68:$C$156,0)-1,88))</f>
        <v>0</v>
      </c>
      <c r="AS67" t="str">
        <f t="shared" si="17"/>
        <v/>
      </c>
    </row>
    <row r="68" spans="1:45" x14ac:dyDescent="0.3">
      <c r="A68" s="19"/>
      <c r="B68" s="19"/>
      <c r="C68" s="19"/>
      <c r="D68" s="19"/>
      <c r="E68" s="20"/>
      <c r="F68" s="19"/>
      <c r="G68" s="21" t="str">
        <f>IF($C68="Phase",$AP68,IF(OR($E68="",$F68=""),"",IF(N($F68)&lt;=0,$E68,WORKDAY.INTL($E68,$F68-1,Settings!$B$9,Holidays!$A$4:$A$103))))</f>
        <v/>
      </c>
      <c r="H68" s="22"/>
      <c r="I68" s="23" t="str">
        <f t="shared" ca="1" si="16"/>
        <v/>
      </c>
      <c r="J68" s="19"/>
      <c r="K68" s="24" t="str">
        <f t="shared" si="24"/>
        <v/>
      </c>
      <c r="L68" s="24" t="str">
        <f t="shared" si="24"/>
        <v/>
      </c>
      <c r="M68" s="24" t="str">
        <f t="shared" si="24"/>
        <v/>
      </c>
      <c r="N68" s="24" t="str">
        <f t="shared" si="24"/>
        <v/>
      </c>
      <c r="O68" s="24" t="str">
        <f t="shared" si="24"/>
        <v/>
      </c>
      <c r="P68" s="24" t="str">
        <f t="shared" si="24"/>
        <v/>
      </c>
      <c r="Q68" s="24" t="str">
        <f t="shared" si="24"/>
        <v/>
      </c>
      <c r="R68" s="24" t="str">
        <f t="shared" si="24"/>
        <v/>
      </c>
      <c r="S68" s="24" t="str">
        <f t="shared" si="24"/>
        <v/>
      </c>
      <c r="T68" s="24" t="str">
        <f t="shared" si="24"/>
        <v/>
      </c>
      <c r="U68" s="24" t="str">
        <f t="shared" si="25"/>
        <v/>
      </c>
      <c r="V68" s="24" t="str">
        <f t="shared" si="25"/>
        <v/>
      </c>
      <c r="W68" s="24" t="str">
        <f t="shared" si="25"/>
        <v/>
      </c>
      <c r="X68" s="24" t="str">
        <f t="shared" si="25"/>
        <v/>
      </c>
      <c r="Y68" s="24" t="str">
        <f t="shared" si="25"/>
        <v/>
      </c>
      <c r="Z68" s="24" t="str">
        <f t="shared" si="25"/>
        <v/>
      </c>
      <c r="AA68" s="24" t="str">
        <f t="shared" si="25"/>
        <v/>
      </c>
      <c r="AB68" s="24" t="str">
        <f t="shared" si="25"/>
        <v/>
      </c>
      <c r="AC68" s="24" t="str">
        <f t="shared" si="25"/>
        <v/>
      </c>
      <c r="AD68" s="24" t="str">
        <f t="shared" si="25"/>
        <v/>
      </c>
      <c r="AE68" s="24" t="str">
        <f t="shared" si="26"/>
        <v/>
      </c>
      <c r="AF68" s="24" t="str">
        <f t="shared" si="26"/>
        <v/>
      </c>
      <c r="AG68" s="24" t="str">
        <f t="shared" si="26"/>
        <v/>
      </c>
      <c r="AH68" s="24" t="str">
        <f t="shared" si="26"/>
        <v/>
      </c>
      <c r="AI68" s="24" t="str">
        <f t="shared" si="26"/>
        <v/>
      </c>
      <c r="AJ68" s="24" t="str">
        <f t="shared" si="26"/>
        <v/>
      </c>
      <c r="AK68" s="24" t="str">
        <f t="shared" si="26"/>
        <v/>
      </c>
      <c r="AL68" s="24" t="str">
        <f t="shared" si="26"/>
        <v/>
      </c>
      <c r="AM68" s="24" t="str">
        <f t="shared" si="26"/>
        <v/>
      </c>
      <c r="AN68" s="24" t="str">
        <f t="shared" si="26"/>
        <v/>
      </c>
      <c r="AO68" t="str">
        <f>IF($C68="Phase",IF($AR68=0,"",IF(COUNT(E69:INDEX(E$6:E$156,63+$AR68))=0,"",MIN(E69:INDEX(E$6:E$156,63+$AR68)))),IF($E68="","",$E68))</f>
        <v/>
      </c>
      <c r="AP68" t="str">
        <f>IF($C68="Phase",IF($AO68="","",MAX(G69:INDEX(G$6:G$156,63+$AR68))),IF($G68="","",$G68))</f>
        <v/>
      </c>
      <c r="AQ68">
        <f>IF($C68="Phase",IF($AR68=0,0,IF(SUM(F69:INDEX(F$6:F$156,63+$AR68))=0,0,SUMPRODUCT(F69:INDEX(F$6:F$156,63+$AR68),H69:INDEX(H$6:H$156,63+$AR68))/SUM(F69:INDEX(F$6:F$156,63+$AR68)))),N($H68))</f>
        <v>0</v>
      </c>
      <c r="AR68">
        <f>IF($C68&lt;&gt;"Phase",0,IFERROR(MATCH("Phase",$C69:$C$156,0)-1,87))</f>
        <v>0</v>
      </c>
      <c r="AS68" t="str">
        <f t="shared" si="17"/>
        <v/>
      </c>
    </row>
    <row r="69" spans="1:45" x14ac:dyDescent="0.3">
      <c r="A69" s="19"/>
      <c r="B69" s="19"/>
      <c r="C69" s="19"/>
      <c r="D69" s="19"/>
      <c r="E69" s="20"/>
      <c r="F69" s="19"/>
      <c r="G69" s="21" t="str">
        <f>IF($C69="Phase",$AP69,IF(OR($E69="",$F69=""),"",IF(N($F69)&lt;=0,$E69,WORKDAY.INTL($E69,$F69-1,Settings!$B$9,Holidays!$A$4:$A$103))))</f>
        <v/>
      </c>
      <c r="H69" s="22"/>
      <c r="I69" s="23" t="str">
        <f t="shared" ca="1" si="16"/>
        <v/>
      </c>
      <c r="J69" s="19"/>
      <c r="K69" s="24" t="str">
        <f t="shared" si="24"/>
        <v/>
      </c>
      <c r="L69" s="24" t="str">
        <f t="shared" si="24"/>
        <v/>
      </c>
      <c r="M69" s="24" t="str">
        <f t="shared" si="24"/>
        <v/>
      </c>
      <c r="N69" s="24" t="str">
        <f t="shared" si="24"/>
        <v/>
      </c>
      <c r="O69" s="24" t="str">
        <f t="shared" si="24"/>
        <v/>
      </c>
      <c r="P69" s="24" t="str">
        <f t="shared" si="24"/>
        <v/>
      </c>
      <c r="Q69" s="24" t="str">
        <f t="shared" si="24"/>
        <v/>
      </c>
      <c r="R69" s="24" t="str">
        <f t="shared" si="24"/>
        <v/>
      </c>
      <c r="S69" s="24" t="str">
        <f t="shared" si="24"/>
        <v/>
      </c>
      <c r="T69" s="24" t="str">
        <f t="shared" si="24"/>
        <v/>
      </c>
      <c r="U69" s="24" t="str">
        <f t="shared" si="25"/>
        <v/>
      </c>
      <c r="V69" s="24" t="str">
        <f t="shared" si="25"/>
        <v/>
      </c>
      <c r="W69" s="24" t="str">
        <f t="shared" si="25"/>
        <v/>
      </c>
      <c r="X69" s="24" t="str">
        <f t="shared" si="25"/>
        <v/>
      </c>
      <c r="Y69" s="24" t="str">
        <f t="shared" si="25"/>
        <v/>
      </c>
      <c r="Z69" s="24" t="str">
        <f t="shared" si="25"/>
        <v/>
      </c>
      <c r="AA69" s="24" t="str">
        <f t="shared" si="25"/>
        <v/>
      </c>
      <c r="AB69" s="24" t="str">
        <f t="shared" si="25"/>
        <v/>
      </c>
      <c r="AC69" s="24" t="str">
        <f t="shared" si="25"/>
        <v/>
      </c>
      <c r="AD69" s="24" t="str">
        <f t="shared" si="25"/>
        <v/>
      </c>
      <c r="AE69" s="24" t="str">
        <f t="shared" si="26"/>
        <v/>
      </c>
      <c r="AF69" s="24" t="str">
        <f t="shared" si="26"/>
        <v/>
      </c>
      <c r="AG69" s="24" t="str">
        <f t="shared" si="26"/>
        <v/>
      </c>
      <c r="AH69" s="24" t="str">
        <f t="shared" si="26"/>
        <v/>
      </c>
      <c r="AI69" s="24" t="str">
        <f t="shared" si="26"/>
        <v/>
      </c>
      <c r="AJ69" s="24" t="str">
        <f t="shared" si="26"/>
        <v/>
      </c>
      <c r="AK69" s="24" t="str">
        <f t="shared" si="26"/>
        <v/>
      </c>
      <c r="AL69" s="24" t="str">
        <f t="shared" si="26"/>
        <v/>
      </c>
      <c r="AM69" s="24" t="str">
        <f t="shared" si="26"/>
        <v/>
      </c>
      <c r="AN69" s="24" t="str">
        <f t="shared" si="26"/>
        <v/>
      </c>
      <c r="AO69" t="str">
        <f>IF($C69="Phase",IF($AR69=0,"",IF(COUNT(E70:INDEX(E$6:E$156,64+$AR69))=0,"",MIN(E70:INDEX(E$6:E$156,64+$AR69)))),IF($E69="","",$E69))</f>
        <v/>
      </c>
      <c r="AP69" t="str">
        <f>IF($C69="Phase",IF($AO69="","",MAX(G70:INDEX(G$6:G$156,64+$AR69))),IF($G69="","",$G69))</f>
        <v/>
      </c>
      <c r="AQ69">
        <f>IF($C69="Phase",IF($AR69=0,0,IF(SUM(F70:INDEX(F$6:F$156,64+$AR69))=0,0,SUMPRODUCT(F70:INDEX(F$6:F$156,64+$AR69),H70:INDEX(H$6:H$156,64+$AR69))/SUM(F70:INDEX(F$6:F$156,64+$AR69)))),N($H69))</f>
        <v>0</v>
      </c>
      <c r="AR69">
        <f>IF($C69&lt;&gt;"Phase",0,IFERROR(MATCH("Phase",$C70:$C$156,0)-1,86))</f>
        <v>0</v>
      </c>
      <c r="AS69" t="str">
        <f t="shared" si="17"/>
        <v/>
      </c>
    </row>
    <row r="70" spans="1:45" x14ac:dyDescent="0.3">
      <c r="A70" s="19"/>
      <c r="B70" s="19"/>
      <c r="C70" s="19"/>
      <c r="D70" s="19"/>
      <c r="E70" s="20"/>
      <c r="F70" s="19"/>
      <c r="G70" s="21" t="str">
        <f>IF($C70="Phase",$AP70,IF(OR($E70="",$F70=""),"",IF(N($F70)&lt;=0,$E70,WORKDAY.INTL($E70,$F70-1,Settings!$B$9,Holidays!$A$4:$A$103))))</f>
        <v/>
      </c>
      <c r="H70" s="22"/>
      <c r="I70" s="23" t="str">
        <f t="shared" ref="I70:I101" ca="1" si="27">IF($B70="","",IF($AP70="","Not planned",IF(N($AQ70)&gt;=1,"Done",IF($AP70&lt;TODAY(),"Late",IF($AO70&lt;=TODAY(),"In progress","Not started")))))</f>
        <v/>
      </c>
      <c r="J70" s="19"/>
      <c r="K70" s="24" t="str">
        <f t="shared" si="24"/>
        <v/>
      </c>
      <c r="L70" s="24" t="str">
        <f t="shared" si="24"/>
        <v/>
      </c>
      <c r="M70" s="24" t="str">
        <f t="shared" si="24"/>
        <v/>
      </c>
      <c r="N70" s="24" t="str">
        <f t="shared" si="24"/>
        <v/>
      </c>
      <c r="O70" s="24" t="str">
        <f t="shared" si="24"/>
        <v/>
      </c>
      <c r="P70" s="24" t="str">
        <f t="shared" si="24"/>
        <v/>
      </c>
      <c r="Q70" s="24" t="str">
        <f t="shared" si="24"/>
        <v/>
      </c>
      <c r="R70" s="24" t="str">
        <f t="shared" si="24"/>
        <v/>
      </c>
      <c r="S70" s="24" t="str">
        <f t="shared" si="24"/>
        <v/>
      </c>
      <c r="T70" s="24" t="str">
        <f t="shared" si="24"/>
        <v/>
      </c>
      <c r="U70" s="24" t="str">
        <f t="shared" si="25"/>
        <v/>
      </c>
      <c r="V70" s="24" t="str">
        <f t="shared" si="25"/>
        <v/>
      </c>
      <c r="W70" s="24" t="str">
        <f t="shared" si="25"/>
        <v/>
      </c>
      <c r="X70" s="24" t="str">
        <f t="shared" si="25"/>
        <v/>
      </c>
      <c r="Y70" s="24" t="str">
        <f t="shared" si="25"/>
        <v/>
      </c>
      <c r="Z70" s="24" t="str">
        <f t="shared" si="25"/>
        <v/>
      </c>
      <c r="AA70" s="24" t="str">
        <f t="shared" si="25"/>
        <v/>
      </c>
      <c r="AB70" s="24" t="str">
        <f t="shared" si="25"/>
        <v/>
      </c>
      <c r="AC70" s="24" t="str">
        <f t="shared" si="25"/>
        <v/>
      </c>
      <c r="AD70" s="24" t="str">
        <f t="shared" si="25"/>
        <v/>
      </c>
      <c r="AE70" s="24" t="str">
        <f t="shared" si="26"/>
        <v/>
      </c>
      <c r="AF70" s="24" t="str">
        <f t="shared" si="26"/>
        <v/>
      </c>
      <c r="AG70" s="24" t="str">
        <f t="shared" si="26"/>
        <v/>
      </c>
      <c r="AH70" s="24" t="str">
        <f t="shared" si="26"/>
        <v/>
      </c>
      <c r="AI70" s="24" t="str">
        <f t="shared" si="26"/>
        <v/>
      </c>
      <c r="AJ70" s="24" t="str">
        <f t="shared" si="26"/>
        <v/>
      </c>
      <c r="AK70" s="24" t="str">
        <f t="shared" si="26"/>
        <v/>
      </c>
      <c r="AL70" s="24" t="str">
        <f t="shared" si="26"/>
        <v/>
      </c>
      <c r="AM70" s="24" t="str">
        <f t="shared" si="26"/>
        <v/>
      </c>
      <c r="AN70" s="24" t="str">
        <f t="shared" si="26"/>
        <v/>
      </c>
      <c r="AO70" t="str">
        <f>IF($C70="Phase",IF($AR70=0,"",IF(COUNT(E71:INDEX(E$6:E$156,65+$AR70))=0,"",MIN(E71:INDEX(E$6:E$156,65+$AR70)))),IF($E70="","",$E70))</f>
        <v/>
      </c>
      <c r="AP70" t="str">
        <f>IF($C70="Phase",IF($AO70="","",MAX(G71:INDEX(G$6:G$156,65+$AR70))),IF($G70="","",$G70))</f>
        <v/>
      </c>
      <c r="AQ70">
        <f>IF($C70="Phase",IF($AR70=0,0,IF(SUM(F71:INDEX(F$6:F$156,65+$AR70))=0,0,SUMPRODUCT(F71:INDEX(F$6:F$156,65+$AR70),H71:INDEX(H$6:H$156,65+$AR70))/SUM(F71:INDEX(F$6:F$156,65+$AR70)))),N($H70))</f>
        <v>0</v>
      </c>
      <c r="AR70">
        <f>IF($C70&lt;&gt;"Phase",0,IFERROR(MATCH("Phase",$C71:$C$156,0)-1,85))</f>
        <v>0</v>
      </c>
      <c r="AS70" t="str">
        <f t="shared" ref="AS70:AS101" si="28">IF(AND($C70="Milestone",$AP70&lt;&gt;"",N($H70)&lt;1),$AP70,"")</f>
        <v/>
      </c>
    </row>
    <row r="71" spans="1:45" x14ac:dyDescent="0.3">
      <c r="A71" s="19"/>
      <c r="B71" s="19"/>
      <c r="C71" s="19"/>
      <c r="D71" s="19"/>
      <c r="E71" s="20"/>
      <c r="F71" s="19"/>
      <c r="G71" s="21" t="str">
        <f>IF($C71="Phase",$AP71,IF(OR($E71="",$F71=""),"",IF(N($F71)&lt;=0,$E71,WORKDAY.INTL($E71,$F71-1,Settings!$B$9,Holidays!$A$4:$A$103))))</f>
        <v/>
      </c>
      <c r="H71" s="22"/>
      <c r="I71" s="23" t="str">
        <f t="shared" ca="1" si="27"/>
        <v/>
      </c>
      <c r="J71" s="19"/>
      <c r="K71" s="24" t="str">
        <f t="shared" si="24"/>
        <v/>
      </c>
      <c r="L71" s="24" t="str">
        <f t="shared" si="24"/>
        <v/>
      </c>
      <c r="M71" s="24" t="str">
        <f t="shared" si="24"/>
        <v/>
      </c>
      <c r="N71" s="24" t="str">
        <f t="shared" si="24"/>
        <v/>
      </c>
      <c r="O71" s="24" t="str">
        <f t="shared" si="24"/>
        <v/>
      </c>
      <c r="P71" s="24" t="str">
        <f t="shared" si="24"/>
        <v/>
      </c>
      <c r="Q71" s="24" t="str">
        <f t="shared" si="24"/>
        <v/>
      </c>
      <c r="R71" s="24" t="str">
        <f t="shared" si="24"/>
        <v/>
      </c>
      <c r="S71" s="24" t="str">
        <f t="shared" si="24"/>
        <v/>
      </c>
      <c r="T71" s="24" t="str">
        <f t="shared" si="24"/>
        <v/>
      </c>
      <c r="U71" s="24" t="str">
        <f t="shared" si="25"/>
        <v/>
      </c>
      <c r="V71" s="24" t="str">
        <f t="shared" si="25"/>
        <v/>
      </c>
      <c r="W71" s="24" t="str">
        <f t="shared" si="25"/>
        <v/>
      </c>
      <c r="X71" s="24" t="str">
        <f t="shared" si="25"/>
        <v/>
      </c>
      <c r="Y71" s="24" t="str">
        <f t="shared" si="25"/>
        <v/>
      </c>
      <c r="Z71" s="24" t="str">
        <f t="shared" si="25"/>
        <v/>
      </c>
      <c r="AA71" s="24" t="str">
        <f t="shared" si="25"/>
        <v/>
      </c>
      <c r="AB71" s="24" t="str">
        <f t="shared" si="25"/>
        <v/>
      </c>
      <c r="AC71" s="24" t="str">
        <f t="shared" si="25"/>
        <v/>
      </c>
      <c r="AD71" s="24" t="str">
        <f t="shared" si="25"/>
        <v/>
      </c>
      <c r="AE71" s="24" t="str">
        <f t="shared" si="26"/>
        <v/>
      </c>
      <c r="AF71" s="24" t="str">
        <f t="shared" si="26"/>
        <v/>
      </c>
      <c r="AG71" s="24" t="str">
        <f t="shared" si="26"/>
        <v/>
      </c>
      <c r="AH71" s="24" t="str">
        <f t="shared" si="26"/>
        <v/>
      </c>
      <c r="AI71" s="24" t="str">
        <f t="shared" si="26"/>
        <v/>
      </c>
      <c r="AJ71" s="24" t="str">
        <f t="shared" si="26"/>
        <v/>
      </c>
      <c r="AK71" s="24" t="str">
        <f t="shared" si="26"/>
        <v/>
      </c>
      <c r="AL71" s="24" t="str">
        <f t="shared" si="26"/>
        <v/>
      </c>
      <c r="AM71" s="24" t="str">
        <f t="shared" si="26"/>
        <v/>
      </c>
      <c r="AN71" s="24" t="str">
        <f t="shared" si="26"/>
        <v/>
      </c>
      <c r="AO71" t="str">
        <f>IF($C71="Phase",IF($AR71=0,"",IF(COUNT(E72:INDEX(E$6:E$156,66+$AR71))=0,"",MIN(E72:INDEX(E$6:E$156,66+$AR71)))),IF($E71="","",$E71))</f>
        <v/>
      </c>
      <c r="AP71" t="str">
        <f>IF($C71="Phase",IF($AO71="","",MAX(G72:INDEX(G$6:G$156,66+$AR71))),IF($G71="","",$G71))</f>
        <v/>
      </c>
      <c r="AQ71">
        <f>IF($C71="Phase",IF($AR71=0,0,IF(SUM(F72:INDEX(F$6:F$156,66+$AR71))=0,0,SUMPRODUCT(F72:INDEX(F$6:F$156,66+$AR71),H72:INDEX(H$6:H$156,66+$AR71))/SUM(F72:INDEX(F$6:F$156,66+$AR71)))),N($H71))</f>
        <v>0</v>
      </c>
      <c r="AR71">
        <f>IF($C71&lt;&gt;"Phase",0,IFERROR(MATCH("Phase",$C72:$C$156,0)-1,84))</f>
        <v>0</v>
      </c>
      <c r="AS71" t="str">
        <f t="shared" si="28"/>
        <v/>
      </c>
    </row>
    <row r="72" spans="1:45" x14ac:dyDescent="0.3">
      <c r="A72" s="19"/>
      <c r="B72" s="19"/>
      <c r="C72" s="19"/>
      <c r="D72" s="19"/>
      <c r="E72" s="20"/>
      <c r="F72" s="19"/>
      <c r="G72" s="21" t="str">
        <f>IF($C72="Phase",$AP72,IF(OR($E72="",$F72=""),"",IF(N($F72)&lt;=0,$E72,WORKDAY.INTL($E72,$F72-1,Settings!$B$9,Holidays!$A$4:$A$103))))</f>
        <v/>
      </c>
      <c r="H72" s="22"/>
      <c r="I72" s="23" t="str">
        <f t="shared" ca="1" si="27"/>
        <v/>
      </c>
      <c r="J72" s="19"/>
      <c r="K72" s="24" t="str">
        <f t="shared" si="24"/>
        <v/>
      </c>
      <c r="L72" s="24" t="str">
        <f t="shared" si="24"/>
        <v/>
      </c>
      <c r="M72" s="24" t="str">
        <f t="shared" si="24"/>
        <v/>
      </c>
      <c r="N72" s="24" t="str">
        <f t="shared" si="24"/>
        <v/>
      </c>
      <c r="O72" s="24" t="str">
        <f t="shared" si="24"/>
        <v/>
      </c>
      <c r="P72" s="24" t="str">
        <f t="shared" si="24"/>
        <v/>
      </c>
      <c r="Q72" s="24" t="str">
        <f t="shared" si="24"/>
        <v/>
      </c>
      <c r="R72" s="24" t="str">
        <f t="shared" si="24"/>
        <v/>
      </c>
      <c r="S72" s="24" t="str">
        <f t="shared" si="24"/>
        <v/>
      </c>
      <c r="T72" s="24" t="str">
        <f t="shared" si="24"/>
        <v/>
      </c>
      <c r="U72" s="24" t="str">
        <f t="shared" si="25"/>
        <v/>
      </c>
      <c r="V72" s="24" t="str">
        <f t="shared" si="25"/>
        <v/>
      </c>
      <c r="W72" s="24" t="str">
        <f t="shared" si="25"/>
        <v/>
      </c>
      <c r="X72" s="24" t="str">
        <f t="shared" si="25"/>
        <v/>
      </c>
      <c r="Y72" s="24" t="str">
        <f t="shared" si="25"/>
        <v/>
      </c>
      <c r="Z72" s="24" t="str">
        <f t="shared" si="25"/>
        <v/>
      </c>
      <c r="AA72" s="24" t="str">
        <f t="shared" si="25"/>
        <v/>
      </c>
      <c r="AB72" s="24" t="str">
        <f t="shared" si="25"/>
        <v/>
      </c>
      <c r="AC72" s="24" t="str">
        <f t="shared" si="25"/>
        <v/>
      </c>
      <c r="AD72" s="24" t="str">
        <f t="shared" si="25"/>
        <v/>
      </c>
      <c r="AE72" s="24" t="str">
        <f t="shared" si="26"/>
        <v/>
      </c>
      <c r="AF72" s="24" t="str">
        <f t="shared" si="26"/>
        <v/>
      </c>
      <c r="AG72" s="24" t="str">
        <f t="shared" si="26"/>
        <v/>
      </c>
      <c r="AH72" s="24" t="str">
        <f t="shared" si="26"/>
        <v/>
      </c>
      <c r="AI72" s="24" t="str">
        <f t="shared" si="26"/>
        <v/>
      </c>
      <c r="AJ72" s="24" t="str">
        <f t="shared" si="26"/>
        <v/>
      </c>
      <c r="AK72" s="24" t="str">
        <f t="shared" si="26"/>
        <v/>
      </c>
      <c r="AL72" s="24" t="str">
        <f t="shared" si="26"/>
        <v/>
      </c>
      <c r="AM72" s="24" t="str">
        <f t="shared" si="26"/>
        <v/>
      </c>
      <c r="AN72" s="24" t="str">
        <f t="shared" si="26"/>
        <v/>
      </c>
      <c r="AO72" t="str">
        <f>IF($C72="Phase",IF($AR72=0,"",IF(COUNT(E73:INDEX(E$6:E$156,67+$AR72))=0,"",MIN(E73:INDEX(E$6:E$156,67+$AR72)))),IF($E72="","",$E72))</f>
        <v/>
      </c>
      <c r="AP72" t="str">
        <f>IF($C72="Phase",IF($AO72="","",MAX(G73:INDEX(G$6:G$156,67+$AR72))),IF($G72="","",$G72))</f>
        <v/>
      </c>
      <c r="AQ72">
        <f>IF($C72="Phase",IF($AR72=0,0,IF(SUM(F73:INDEX(F$6:F$156,67+$AR72))=0,0,SUMPRODUCT(F73:INDEX(F$6:F$156,67+$AR72),H73:INDEX(H$6:H$156,67+$AR72))/SUM(F73:INDEX(F$6:F$156,67+$AR72)))),N($H72))</f>
        <v>0</v>
      </c>
      <c r="AR72">
        <f>IF($C72&lt;&gt;"Phase",0,IFERROR(MATCH("Phase",$C73:$C$156,0)-1,83))</f>
        <v>0</v>
      </c>
      <c r="AS72" t="str">
        <f t="shared" si="28"/>
        <v/>
      </c>
    </row>
    <row r="73" spans="1:45" x14ac:dyDescent="0.3">
      <c r="A73" s="19"/>
      <c r="B73" s="19"/>
      <c r="C73" s="19"/>
      <c r="D73" s="19"/>
      <c r="E73" s="20"/>
      <c r="F73" s="19"/>
      <c r="G73" s="21" t="str">
        <f>IF($C73="Phase",$AP73,IF(OR($E73="",$F73=""),"",IF(N($F73)&lt;=0,$E73,WORKDAY.INTL($E73,$F73-1,Settings!$B$9,Holidays!$A$4:$A$103))))</f>
        <v/>
      </c>
      <c r="H73" s="22"/>
      <c r="I73" s="23" t="str">
        <f t="shared" ca="1" si="27"/>
        <v/>
      </c>
      <c r="J73" s="19"/>
      <c r="K73" s="24" t="str">
        <f t="shared" si="24"/>
        <v/>
      </c>
      <c r="L73" s="24" t="str">
        <f t="shared" si="24"/>
        <v/>
      </c>
      <c r="M73" s="24" t="str">
        <f t="shared" si="24"/>
        <v/>
      </c>
      <c r="N73" s="24" t="str">
        <f t="shared" si="24"/>
        <v/>
      </c>
      <c r="O73" s="24" t="str">
        <f t="shared" si="24"/>
        <v/>
      </c>
      <c r="P73" s="24" t="str">
        <f t="shared" si="24"/>
        <v/>
      </c>
      <c r="Q73" s="24" t="str">
        <f t="shared" si="24"/>
        <v/>
      </c>
      <c r="R73" s="24" t="str">
        <f t="shared" si="24"/>
        <v/>
      </c>
      <c r="S73" s="24" t="str">
        <f t="shared" si="24"/>
        <v/>
      </c>
      <c r="T73" s="24" t="str">
        <f t="shared" si="24"/>
        <v/>
      </c>
      <c r="U73" s="24" t="str">
        <f t="shared" si="25"/>
        <v/>
      </c>
      <c r="V73" s="24" t="str">
        <f t="shared" si="25"/>
        <v/>
      </c>
      <c r="W73" s="24" t="str">
        <f t="shared" si="25"/>
        <v/>
      </c>
      <c r="X73" s="24" t="str">
        <f t="shared" si="25"/>
        <v/>
      </c>
      <c r="Y73" s="24" t="str">
        <f t="shared" si="25"/>
        <v/>
      </c>
      <c r="Z73" s="24" t="str">
        <f t="shared" si="25"/>
        <v/>
      </c>
      <c r="AA73" s="24" t="str">
        <f t="shared" si="25"/>
        <v/>
      </c>
      <c r="AB73" s="24" t="str">
        <f t="shared" si="25"/>
        <v/>
      </c>
      <c r="AC73" s="24" t="str">
        <f t="shared" si="25"/>
        <v/>
      </c>
      <c r="AD73" s="24" t="str">
        <f t="shared" si="25"/>
        <v/>
      </c>
      <c r="AE73" s="24" t="str">
        <f t="shared" si="26"/>
        <v/>
      </c>
      <c r="AF73" s="24" t="str">
        <f t="shared" si="26"/>
        <v/>
      </c>
      <c r="AG73" s="24" t="str">
        <f t="shared" si="26"/>
        <v/>
      </c>
      <c r="AH73" s="24" t="str">
        <f t="shared" si="26"/>
        <v/>
      </c>
      <c r="AI73" s="24" t="str">
        <f t="shared" si="26"/>
        <v/>
      </c>
      <c r="AJ73" s="24" t="str">
        <f t="shared" si="26"/>
        <v/>
      </c>
      <c r="AK73" s="24" t="str">
        <f t="shared" si="26"/>
        <v/>
      </c>
      <c r="AL73" s="24" t="str">
        <f t="shared" si="26"/>
        <v/>
      </c>
      <c r="AM73" s="24" t="str">
        <f t="shared" si="26"/>
        <v/>
      </c>
      <c r="AN73" s="24" t="str">
        <f t="shared" si="26"/>
        <v/>
      </c>
      <c r="AO73" t="str">
        <f>IF($C73="Phase",IF($AR73=0,"",IF(COUNT(E74:INDEX(E$6:E$156,68+$AR73))=0,"",MIN(E74:INDEX(E$6:E$156,68+$AR73)))),IF($E73="","",$E73))</f>
        <v/>
      </c>
      <c r="AP73" t="str">
        <f>IF($C73="Phase",IF($AO73="","",MAX(G74:INDEX(G$6:G$156,68+$AR73))),IF($G73="","",$G73))</f>
        <v/>
      </c>
      <c r="AQ73">
        <f>IF($C73="Phase",IF($AR73=0,0,IF(SUM(F74:INDEX(F$6:F$156,68+$AR73))=0,0,SUMPRODUCT(F74:INDEX(F$6:F$156,68+$AR73),H74:INDEX(H$6:H$156,68+$AR73))/SUM(F74:INDEX(F$6:F$156,68+$AR73)))),N($H73))</f>
        <v>0</v>
      </c>
      <c r="AR73">
        <f>IF($C73&lt;&gt;"Phase",0,IFERROR(MATCH("Phase",$C74:$C$156,0)-1,82))</f>
        <v>0</v>
      </c>
      <c r="AS73" t="str">
        <f t="shared" si="28"/>
        <v/>
      </c>
    </row>
    <row r="74" spans="1:45" x14ac:dyDescent="0.3">
      <c r="A74" s="19"/>
      <c r="B74" s="19"/>
      <c r="C74" s="19"/>
      <c r="D74" s="19"/>
      <c r="E74" s="20"/>
      <c r="F74" s="19"/>
      <c r="G74" s="21" t="str">
        <f>IF($C74="Phase",$AP74,IF(OR($E74="",$F74=""),"",IF(N($F74)&lt;=0,$E74,WORKDAY.INTL($E74,$F74-1,Settings!$B$9,Holidays!$A$4:$A$103))))</f>
        <v/>
      </c>
      <c r="H74" s="22"/>
      <c r="I74" s="23" t="str">
        <f t="shared" ca="1" si="27"/>
        <v/>
      </c>
      <c r="J74" s="19"/>
      <c r="K74" s="24" t="str">
        <f t="shared" si="24"/>
        <v/>
      </c>
      <c r="L74" s="24" t="str">
        <f t="shared" si="24"/>
        <v/>
      </c>
      <c r="M74" s="24" t="str">
        <f t="shared" si="24"/>
        <v/>
      </c>
      <c r="N74" s="24" t="str">
        <f t="shared" si="24"/>
        <v/>
      </c>
      <c r="O74" s="24" t="str">
        <f t="shared" si="24"/>
        <v/>
      </c>
      <c r="P74" s="24" t="str">
        <f t="shared" si="24"/>
        <v/>
      </c>
      <c r="Q74" s="24" t="str">
        <f t="shared" si="24"/>
        <v/>
      </c>
      <c r="R74" s="24" t="str">
        <f t="shared" si="24"/>
        <v/>
      </c>
      <c r="S74" s="24" t="str">
        <f t="shared" si="24"/>
        <v/>
      </c>
      <c r="T74" s="24" t="str">
        <f t="shared" si="24"/>
        <v/>
      </c>
      <c r="U74" s="24" t="str">
        <f t="shared" si="25"/>
        <v/>
      </c>
      <c r="V74" s="24" t="str">
        <f t="shared" si="25"/>
        <v/>
      </c>
      <c r="W74" s="24" t="str">
        <f t="shared" si="25"/>
        <v/>
      </c>
      <c r="X74" s="24" t="str">
        <f t="shared" si="25"/>
        <v/>
      </c>
      <c r="Y74" s="24" t="str">
        <f t="shared" si="25"/>
        <v/>
      </c>
      <c r="Z74" s="24" t="str">
        <f t="shared" si="25"/>
        <v/>
      </c>
      <c r="AA74" s="24" t="str">
        <f t="shared" si="25"/>
        <v/>
      </c>
      <c r="AB74" s="24" t="str">
        <f t="shared" si="25"/>
        <v/>
      </c>
      <c r="AC74" s="24" t="str">
        <f t="shared" si="25"/>
        <v/>
      </c>
      <c r="AD74" s="24" t="str">
        <f t="shared" si="25"/>
        <v/>
      </c>
      <c r="AE74" s="24" t="str">
        <f t="shared" si="26"/>
        <v/>
      </c>
      <c r="AF74" s="24" t="str">
        <f t="shared" si="26"/>
        <v/>
      </c>
      <c r="AG74" s="24" t="str">
        <f t="shared" si="26"/>
        <v/>
      </c>
      <c r="AH74" s="24" t="str">
        <f t="shared" si="26"/>
        <v/>
      </c>
      <c r="AI74" s="24" t="str">
        <f t="shared" si="26"/>
        <v/>
      </c>
      <c r="AJ74" s="24" t="str">
        <f t="shared" si="26"/>
        <v/>
      </c>
      <c r="AK74" s="24" t="str">
        <f t="shared" si="26"/>
        <v/>
      </c>
      <c r="AL74" s="24" t="str">
        <f t="shared" si="26"/>
        <v/>
      </c>
      <c r="AM74" s="24" t="str">
        <f t="shared" si="26"/>
        <v/>
      </c>
      <c r="AN74" s="24" t="str">
        <f t="shared" si="26"/>
        <v/>
      </c>
      <c r="AO74" t="str">
        <f>IF($C74="Phase",IF($AR74=0,"",IF(COUNT(E75:INDEX(E$6:E$156,69+$AR74))=0,"",MIN(E75:INDEX(E$6:E$156,69+$AR74)))),IF($E74="","",$E74))</f>
        <v/>
      </c>
      <c r="AP74" t="str">
        <f>IF($C74="Phase",IF($AO74="","",MAX(G75:INDEX(G$6:G$156,69+$AR74))),IF($G74="","",$G74))</f>
        <v/>
      </c>
      <c r="AQ74">
        <f>IF($C74="Phase",IF($AR74=0,0,IF(SUM(F75:INDEX(F$6:F$156,69+$AR74))=0,0,SUMPRODUCT(F75:INDEX(F$6:F$156,69+$AR74),H75:INDEX(H$6:H$156,69+$AR74))/SUM(F75:INDEX(F$6:F$156,69+$AR74)))),N($H74))</f>
        <v>0</v>
      </c>
      <c r="AR74">
        <f>IF($C74&lt;&gt;"Phase",0,IFERROR(MATCH("Phase",$C75:$C$156,0)-1,81))</f>
        <v>0</v>
      </c>
      <c r="AS74" t="str">
        <f t="shared" si="28"/>
        <v/>
      </c>
    </row>
    <row r="75" spans="1:45" x14ac:dyDescent="0.3">
      <c r="A75" s="19"/>
      <c r="B75" s="19"/>
      <c r="C75" s="19"/>
      <c r="D75" s="19"/>
      <c r="E75" s="20"/>
      <c r="F75" s="19"/>
      <c r="G75" s="21" t="str">
        <f>IF($C75="Phase",$AP75,IF(OR($E75="",$F75=""),"",IF(N($F75)&lt;=0,$E75,WORKDAY.INTL($E75,$F75-1,Settings!$B$9,Holidays!$A$4:$A$103))))</f>
        <v/>
      </c>
      <c r="H75" s="22"/>
      <c r="I75" s="23" t="str">
        <f t="shared" ca="1" si="27"/>
        <v/>
      </c>
      <c r="J75" s="19"/>
      <c r="K75" s="24" t="str">
        <f t="shared" si="24"/>
        <v/>
      </c>
      <c r="L75" s="24" t="str">
        <f t="shared" si="24"/>
        <v/>
      </c>
      <c r="M75" s="24" t="str">
        <f t="shared" si="24"/>
        <v/>
      </c>
      <c r="N75" s="24" t="str">
        <f t="shared" si="24"/>
        <v/>
      </c>
      <c r="O75" s="24" t="str">
        <f t="shared" si="24"/>
        <v/>
      </c>
      <c r="P75" s="24" t="str">
        <f t="shared" si="24"/>
        <v/>
      </c>
      <c r="Q75" s="24" t="str">
        <f t="shared" si="24"/>
        <v/>
      </c>
      <c r="R75" s="24" t="str">
        <f t="shared" si="24"/>
        <v/>
      </c>
      <c r="S75" s="24" t="str">
        <f t="shared" si="24"/>
        <v/>
      </c>
      <c r="T75" s="24" t="str">
        <f t="shared" si="24"/>
        <v/>
      </c>
      <c r="U75" s="24" t="str">
        <f t="shared" si="25"/>
        <v/>
      </c>
      <c r="V75" s="24" t="str">
        <f t="shared" si="25"/>
        <v/>
      </c>
      <c r="W75" s="24" t="str">
        <f t="shared" si="25"/>
        <v/>
      </c>
      <c r="X75" s="24" t="str">
        <f t="shared" si="25"/>
        <v/>
      </c>
      <c r="Y75" s="24" t="str">
        <f t="shared" si="25"/>
        <v/>
      </c>
      <c r="Z75" s="24" t="str">
        <f t="shared" si="25"/>
        <v/>
      </c>
      <c r="AA75" s="24" t="str">
        <f t="shared" si="25"/>
        <v/>
      </c>
      <c r="AB75" s="24" t="str">
        <f t="shared" si="25"/>
        <v/>
      </c>
      <c r="AC75" s="24" t="str">
        <f t="shared" si="25"/>
        <v/>
      </c>
      <c r="AD75" s="24" t="str">
        <f t="shared" si="25"/>
        <v/>
      </c>
      <c r="AE75" s="24" t="str">
        <f t="shared" si="26"/>
        <v/>
      </c>
      <c r="AF75" s="24" t="str">
        <f t="shared" si="26"/>
        <v/>
      </c>
      <c r="AG75" s="24" t="str">
        <f t="shared" si="26"/>
        <v/>
      </c>
      <c r="AH75" s="24" t="str">
        <f t="shared" si="26"/>
        <v/>
      </c>
      <c r="AI75" s="24" t="str">
        <f t="shared" si="26"/>
        <v/>
      </c>
      <c r="AJ75" s="24" t="str">
        <f t="shared" si="26"/>
        <v/>
      </c>
      <c r="AK75" s="24" t="str">
        <f t="shared" si="26"/>
        <v/>
      </c>
      <c r="AL75" s="24" t="str">
        <f t="shared" si="26"/>
        <v/>
      </c>
      <c r="AM75" s="24" t="str">
        <f t="shared" si="26"/>
        <v/>
      </c>
      <c r="AN75" s="24" t="str">
        <f t="shared" si="26"/>
        <v/>
      </c>
      <c r="AO75" t="str">
        <f>IF($C75="Phase",IF($AR75=0,"",IF(COUNT(E76:INDEX(E$6:E$156,70+$AR75))=0,"",MIN(E76:INDEX(E$6:E$156,70+$AR75)))),IF($E75="","",$E75))</f>
        <v/>
      </c>
      <c r="AP75" t="str">
        <f>IF($C75="Phase",IF($AO75="","",MAX(G76:INDEX(G$6:G$156,70+$AR75))),IF($G75="","",$G75))</f>
        <v/>
      </c>
      <c r="AQ75">
        <f>IF($C75="Phase",IF($AR75=0,0,IF(SUM(F76:INDEX(F$6:F$156,70+$AR75))=0,0,SUMPRODUCT(F76:INDEX(F$6:F$156,70+$AR75),H76:INDEX(H$6:H$156,70+$AR75))/SUM(F76:INDEX(F$6:F$156,70+$AR75)))),N($H75))</f>
        <v>0</v>
      </c>
      <c r="AR75">
        <f>IF($C75&lt;&gt;"Phase",0,IFERROR(MATCH("Phase",$C76:$C$156,0)-1,80))</f>
        <v>0</v>
      </c>
      <c r="AS75" t="str">
        <f t="shared" si="28"/>
        <v/>
      </c>
    </row>
    <row r="76" spans="1:45" x14ac:dyDescent="0.3">
      <c r="A76" s="19"/>
      <c r="B76" s="19"/>
      <c r="C76" s="19"/>
      <c r="D76" s="19"/>
      <c r="E76" s="20"/>
      <c r="F76" s="19"/>
      <c r="G76" s="21" t="str">
        <f>IF($C76="Phase",$AP76,IF(OR($E76="",$F76=""),"",IF(N($F76)&lt;=0,$E76,WORKDAY.INTL($E76,$F76-1,Settings!$B$9,Holidays!$A$4:$A$103))))</f>
        <v/>
      </c>
      <c r="H76" s="22"/>
      <c r="I76" s="23" t="str">
        <f t="shared" ca="1" si="27"/>
        <v/>
      </c>
      <c r="J76" s="19"/>
      <c r="K76" s="24" t="str">
        <f t="shared" ref="K76:T85" si="29">IF(AND($C76="Milestone",$AP76&lt;&gt;""),IF(AND($AP76&gt;=K$5,$AP76&lt;K$5+$AO$3),"◆",""),"")</f>
        <v/>
      </c>
      <c r="L76" s="24" t="str">
        <f t="shared" si="29"/>
        <v/>
      </c>
      <c r="M76" s="24" t="str">
        <f t="shared" si="29"/>
        <v/>
      </c>
      <c r="N76" s="24" t="str">
        <f t="shared" si="29"/>
        <v/>
      </c>
      <c r="O76" s="24" t="str">
        <f t="shared" si="29"/>
        <v/>
      </c>
      <c r="P76" s="24" t="str">
        <f t="shared" si="29"/>
        <v/>
      </c>
      <c r="Q76" s="24" t="str">
        <f t="shared" si="29"/>
        <v/>
      </c>
      <c r="R76" s="24" t="str">
        <f t="shared" si="29"/>
        <v/>
      </c>
      <c r="S76" s="24" t="str">
        <f t="shared" si="29"/>
        <v/>
      </c>
      <c r="T76" s="24" t="str">
        <f t="shared" si="29"/>
        <v/>
      </c>
      <c r="U76" s="24" t="str">
        <f t="shared" ref="U76:AD85" si="30">IF(AND($C76="Milestone",$AP76&lt;&gt;""),IF(AND($AP76&gt;=U$5,$AP76&lt;U$5+$AO$3),"◆",""),"")</f>
        <v/>
      </c>
      <c r="V76" s="24" t="str">
        <f t="shared" si="30"/>
        <v/>
      </c>
      <c r="W76" s="24" t="str">
        <f t="shared" si="30"/>
        <v/>
      </c>
      <c r="X76" s="24" t="str">
        <f t="shared" si="30"/>
        <v/>
      </c>
      <c r="Y76" s="24" t="str">
        <f t="shared" si="30"/>
        <v/>
      </c>
      <c r="Z76" s="24" t="str">
        <f t="shared" si="30"/>
        <v/>
      </c>
      <c r="AA76" s="24" t="str">
        <f t="shared" si="30"/>
        <v/>
      </c>
      <c r="AB76" s="24" t="str">
        <f t="shared" si="30"/>
        <v/>
      </c>
      <c r="AC76" s="24" t="str">
        <f t="shared" si="30"/>
        <v/>
      </c>
      <c r="AD76" s="24" t="str">
        <f t="shared" si="30"/>
        <v/>
      </c>
      <c r="AE76" s="24" t="str">
        <f t="shared" ref="AE76:AN85" si="31">IF(AND($C76="Milestone",$AP76&lt;&gt;""),IF(AND($AP76&gt;=AE$5,$AP76&lt;AE$5+$AO$3),"◆",""),"")</f>
        <v/>
      </c>
      <c r="AF76" s="24" t="str">
        <f t="shared" si="31"/>
        <v/>
      </c>
      <c r="AG76" s="24" t="str">
        <f t="shared" si="31"/>
        <v/>
      </c>
      <c r="AH76" s="24" t="str">
        <f t="shared" si="31"/>
        <v/>
      </c>
      <c r="AI76" s="24" t="str">
        <f t="shared" si="31"/>
        <v/>
      </c>
      <c r="AJ76" s="24" t="str">
        <f t="shared" si="31"/>
        <v/>
      </c>
      <c r="AK76" s="24" t="str">
        <f t="shared" si="31"/>
        <v/>
      </c>
      <c r="AL76" s="24" t="str">
        <f t="shared" si="31"/>
        <v/>
      </c>
      <c r="AM76" s="24" t="str">
        <f t="shared" si="31"/>
        <v/>
      </c>
      <c r="AN76" s="24" t="str">
        <f t="shared" si="31"/>
        <v/>
      </c>
      <c r="AO76" t="str">
        <f>IF($C76="Phase",IF($AR76=0,"",IF(COUNT(E77:INDEX(E$6:E$156,71+$AR76))=0,"",MIN(E77:INDEX(E$6:E$156,71+$AR76)))),IF($E76="","",$E76))</f>
        <v/>
      </c>
      <c r="AP76" t="str">
        <f>IF($C76="Phase",IF($AO76="","",MAX(G77:INDEX(G$6:G$156,71+$AR76))),IF($G76="","",$G76))</f>
        <v/>
      </c>
      <c r="AQ76">
        <f>IF($C76="Phase",IF($AR76=0,0,IF(SUM(F77:INDEX(F$6:F$156,71+$AR76))=0,0,SUMPRODUCT(F77:INDEX(F$6:F$156,71+$AR76),H77:INDEX(H$6:H$156,71+$AR76))/SUM(F77:INDEX(F$6:F$156,71+$AR76)))),N($H76))</f>
        <v>0</v>
      </c>
      <c r="AR76">
        <f>IF($C76&lt;&gt;"Phase",0,IFERROR(MATCH("Phase",$C77:$C$156,0)-1,79))</f>
        <v>0</v>
      </c>
      <c r="AS76" t="str">
        <f t="shared" si="28"/>
        <v/>
      </c>
    </row>
    <row r="77" spans="1:45" x14ac:dyDescent="0.3">
      <c r="A77" s="19"/>
      <c r="B77" s="19"/>
      <c r="C77" s="19"/>
      <c r="D77" s="19"/>
      <c r="E77" s="20"/>
      <c r="F77" s="19"/>
      <c r="G77" s="21" t="str">
        <f>IF($C77="Phase",$AP77,IF(OR($E77="",$F77=""),"",IF(N($F77)&lt;=0,$E77,WORKDAY.INTL($E77,$F77-1,Settings!$B$9,Holidays!$A$4:$A$103))))</f>
        <v/>
      </c>
      <c r="H77" s="22"/>
      <c r="I77" s="23" t="str">
        <f t="shared" ca="1" si="27"/>
        <v/>
      </c>
      <c r="J77" s="19"/>
      <c r="K77" s="24" t="str">
        <f t="shared" si="29"/>
        <v/>
      </c>
      <c r="L77" s="24" t="str">
        <f t="shared" si="29"/>
        <v/>
      </c>
      <c r="M77" s="24" t="str">
        <f t="shared" si="29"/>
        <v/>
      </c>
      <c r="N77" s="24" t="str">
        <f t="shared" si="29"/>
        <v/>
      </c>
      <c r="O77" s="24" t="str">
        <f t="shared" si="29"/>
        <v/>
      </c>
      <c r="P77" s="24" t="str">
        <f t="shared" si="29"/>
        <v/>
      </c>
      <c r="Q77" s="24" t="str">
        <f t="shared" si="29"/>
        <v/>
      </c>
      <c r="R77" s="24" t="str">
        <f t="shared" si="29"/>
        <v/>
      </c>
      <c r="S77" s="24" t="str">
        <f t="shared" si="29"/>
        <v/>
      </c>
      <c r="T77" s="24" t="str">
        <f t="shared" si="29"/>
        <v/>
      </c>
      <c r="U77" s="24" t="str">
        <f t="shared" si="30"/>
        <v/>
      </c>
      <c r="V77" s="24" t="str">
        <f t="shared" si="30"/>
        <v/>
      </c>
      <c r="W77" s="24" t="str">
        <f t="shared" si="30"/>
        <v/>
      </c>
      <c r="X77" s="24" t="str">
        <f t="shared" si="30"/>
        <v/>
      </c>
      <c r="Y77" s="24" t="str">
        <f t="shared" si="30"/>
        <v/>
      </c>
      <c r="Z77" s="24" t="str">
        <f t="shared" si="30"/>
        <v/>
      </c>
      <c r="AA77" s="24" t="str">
        <f t="shared" si="30"/>
        <v/>
      </c>
      <c r="AB77" s="24" t="str">
        <f t="shared" si="30"/>
        <v/>
      </c>
      <c r="AC77" s="24" t="str">
        <f t="shared" si="30"/>
        <v/>
      </c>
      <c r="AD77" s="24" t="str">
        <f t="shared" si="30"/>
        <v/>
      </c>
      <c r="AE77" s="24" t="str">
        <f t="shared" si="31"/>
        <v/>
      </c>
      <c r="AF77" s="24" t="str">
        <f t="shared" si="31"/>
        <v/>
      </c>
      <c r="AG77" s="24" t="str">
        <f t="shared" si="31"/>
        <v/>
      </c>
      <c r="AH77" s="24" t="str">
        <f t="shared" si="31"/>
        <v/>
      </c>
      <c r="AI77" s="24" t="str">
        <f t="shared" si="31"/>
        <v/>
      </c>
      <c r="AJ77" s="24" t="str">
        <f t="shared" si="31"/>
        <v/>
      </c>
      <c r="AK77" s="24" t="str">
        <f t="shared" si="31"/>
        <v/>
      </c>
      <c r="AL77" s="24" t="str">
        <f t="shared" si="31"/>
        <v/>
      </c>
      <c r="AM77" s="24" t="str">
        <f t="shared" si="31"/>
        <v/>
      </c>
      <c r="AN77" s="24" t="str">
        <f t="shared" si="31"/>
        <v/>
      </c>
      <c r="AO77" t="str">
        <f>IF($C77="Phase",IF($AR77=0,"",IF(COUNT(E78:INDEX(E$6:E$156,72+$AR77))=0,"",MIN(E78:INDEX(E$6:E$156,72+$AR77)))),IF($E77="","",$E77))</f>
        <v/>
      </c>
      <c r="AP77" t="str">
        <f>IF($C77="Phase",IF($AO77="","",MAX(G78:INDEX(G$6:G$156,72+$AR77))),IF($G77="","",$G77))</f>
        <v/>
      </c>
      <c r="AQ77">
        <f>IF($C77="Phase",IF($AR77=0,0,IF(SUM(F78:INDEX(F$6:F$156,72+$AR77))=0,0,SUMPRODUCT(F78:INDEX(F$6:F$156,72+$AR77),H78:INDEX(H$6:H$156,72+$AR77))/SUM(F78:INDEX(F$6:F$156,72+$AR77)))),N($H77))</f>
        <v>0</v>
      </c>
      <c r="AR77">
        <f>IF($C77&lt;&gt;"Phase",0,IFERROR(MATCH("Phase",$C78:$C$156,0)-1,78))</f>
        <v>0</v>
      </c>
      <c r="AS77" t="str">
        <f t="shared" si="28"/>
        <v/>
      </c>
    </row>
    <row r="78" spans="1:45" x14ac:dyDescent="0.3">
      <c r="A78" s="19"/>
      <c r="B78" s="19"/>
      <c r="C78" s="19"/>
      <c r="D78" s="19"/>
      <c r="E78" s="20"/>
      <c r="F78" s="19"/>
      <c r="G78" s="21" t="str">
        <f>IF($C78="Phase",$AP78,IF(OR($E78="",$F78=""),"",IF(N($F78)&lt;=0,$E78,WORKDAY.INTL($E78,$F78-1,Settings!$B$9,Holidays!$A$4:$A$103))))</f>
        <v/>
      </c>
      <c r="H78" s="22"/>
      <c r="I78" s="23" t="str">
        <f t="shared" ca="1" si="27"/>
        <v/>
      </c>
      <c r="J78" s="19"/>
      <c r="K78" s="24" t="str">
        <f t="shared" si="29"/>
        <v/>
      </c>
      <c r="L78" s="24" t="str">
        <f t="shared" si="29"/>
        <v/>
      </c>
      <c r="M78" s="24" t="str">
        <f t="shared" si="29"/>
        <v/>
      </c>
      <c r="N78" s="24" t="str">
        <f t="shared" si="29"/>
        <v/>
      </c>
      <c r="O78" s="24" t="str">
        <f t="shared" si="29"/>
        <v/>
      </c>
      <c r="P78" s="24" t="str">
        <f t="shared" si="29"/>
        <v/>
      </c>
      <c r="Q78" s="24" t="str">
        <f t="shared" si="29"/>
        <v/>
      </c>
      <c r="R78" s="24" t="str">
        <f t="shared" si="29"/>
        <v/>
      </c>
      <c r="S78" s="24" t="str">
        <f t="shared" si="29"/>
        <v/>
      </c>
      <c r="T78" s="24" t="str">
        <f t="shared" si="29"/>
        <v/>
      </c>
      <c r="U78" s="24" t="str">
        <f t="shared" si="30"/>
        <v/>
      </c>
      <c r="V78" s="24" t="str">
        <f t="shared" si="30"/>
        <v/>
      </c>
      <c r="W78" s="24" t="str">
        <f t="shared" si="30"/>
        <v/>
      </c>
      <c r="X78" s="24" t="str">
        <f t="shared" si="30"/>
        <v/>
      </c>
      <c r="Y78" s="24" t="str">
        <f t="shared" si="30"/>
        <v/>
      </c>
      <c r="Z78" s="24" t="str">
        <f t="shared" si="30"/>
        <v/>
      </c>
      <c r="AA78" s="24" t="str">
        <f t="shared" si="30"/>
        <v/>
      </c>
      <c r="AB78" s="24" t="str">
        <f t="shared" si="30"/>
        <v/>
      </c>
      <c r="AC78" s="24" t="str">
        <f t="shared" si="30"/>
        <v/>
      </c>
      <c r="AD78" s="24" t="str">
        <f t="shared" si="30"/>
        <v/>
      </c>
      <c r="AE78" s="24" t="str">
        <f t="shared" si="31"/>
        <v/>
      </c>
      <c r="AF78" s="24" t="str">
        <f t="shared" si="31"/>
        <v/>
      </c>
      <c r="AG78" s="24" t="str">
        <f t="shared" si="31"/>
        <v/>
      </c>
      <c r="AH78" s="24" t="str">
        <f t="shared" si="31"/>
        <v/>
      </c>
      <c r="AI78" s="24" t="str">
        <f t="shared" si="31"/>
        <v/>
      </c>
      <c r="AJ78" s="24" t="str">
        <f t="shared" si="31"/>
        <v/>
      </c>
      <c r="AK78" s="24" t="str">
        <f t="shared" si="31"/>
        <v/>
      </c>
      <c r="AL78" s="24" t="str">
        <f t="shared" si="31"/>
        <v/>
      </c>
      <c r="AM78" s="24" t="str">
        <f t="shared" si="31"/>
        <v/>
      </c>
      <c r="AN78" s="24" t="str">
        <f t="shared" si="31"/>
        <v/>
      </c>
      <c r="AO78" t="str">
        <f>IF($C78="Phase",IF($AR78=0,"",IF(COUNT(E79:INDEX(E$6:E$156,73+$AR78))=0,"",MIN(E79:INDEX(E$6:E$156,73+$AR78)))),IF($E78="","",$E78))</f>
        <v/>
      </c>
      <c r="AP78" t="str">
        <f>IF($C78="Phase",IF($AO78="","",MAX(G79:INDEX(G$6:G$156,73+$AR78))),IF($G78="","",$G78))</f>
        <v/>
      </c>
      <c r="AQ78">
        <f>IF($C78="Phase",IF($AR78=0,0,IF(SUM(F79:INDEX(F$6:F$156,73+$AR78))=0,0,SUMPRODUCT(F79:INDEX(F$6:F$156,73+$AR78),H79:INDEX(H$6:H$156,73+$AR78))/SUM(F79:INDEX(F$6:F$156,73+$AR78)))),N($H78))</f>
        <v>0</v>
      </c>
      <c r="AR78">
        <f>IF($C78&lt;&gt;"Phase",0,IFERROR(MATCH("Phase",$C79:$C$156,0)-1,77))</f>
        <v>0</v>
      </c>
      <c r="AS78" t="str">
        <f t="shared" si="28"/>
        <v/>
      </c>
    </row>
    <row r="79" spans="1:45" x14ac:dyDescent="0.3">
      <c r="A79" s="19"/>
      <c r="B79" s="19"/>
      <c r="C79" s="19"/>
      <c r="D79" s="19"/>
      <c r="E79" s="20"/>
      <c r="F79" s="19"/>
      <c r="G79" s="21" t="str">
        <f>IF($C79="Phase",$AP79,IF(OR($E79="",$F79=""),"",IF(N($F79)&lt;=0,$E79,WORKDAY.INTL($E79,$F79-1,Settings!$B$9,Holidays!$A$4:$A$103))))</f>
        <v/>
      </c>
      <c r="H79" s="22"/>
      <c r="I79" s="23" t="str">
        <f t="shared" ca="1" si="27"/>
        <v/>
      </c>
      <c r="J79" s="19"/>
      <c r="K79" s="24" t="str">
        <f t="shared" si="29"/>
        <v/>
      </c>
      <c r="L79" s="24" t="str">
        <f t="shared" si="29"/>
        <v/>
      </c>
      <c r="M79" s="24" t="str">
        <f t="shared" si="29"/>
        <v/>
      </c>
      <c r="N79" s="24" t="str">
        <f t="shared" si="29"/>
        <v/>
      </c>
      <c r="O79" s="24" t="str">
        <f t="shared" si="29"/>
        <v/>
      </c>
      <c r="P79" s="24" t="str">
        <f t="shared" si="29"/>
        <v/>
      </c>
      <c r="Q79" s="24" t="str">
        <f t="shared" si="29"/>
        <v/>
      </c>
      <c r="R79" s="24" t="str">
        <f t="shared" si="29"/>
        <v/>
      </c>
      <c r="S79" s="24" t="str">
        <f t="shared" si="29"/>
        <v/>
      </c>
      <c r="T79" s="24" t="str">
        <f t="shared" si="29"/>
        <v/>
      </c>
      <c r="U79" s="24" t="str">
        <f t="shared" si="30"/>
        <v/>
      </c>
      <c r="V79" s="24" t="str">
        <f t="shared" si="30"/>
        <v/>
      </c>
      <c r="W79" s="24" t="str">
        <f t="shared" si="30"/>
        <v/>
      </c>
      <c r="X79" s="24" t="str">
        <f t="shared" si="30"/>
        <v/>
      </c>
      <c r="Y79" s="24" t="str">
        <f t="shared" si="30"/>
        <v/>
      </c>
      <c r="Z79" s="24" t="str">
        <f t="shared" si="30"/>
        <v/>
      </c>
      <c r="AA79" s="24" t="str">
        <f t="shared" si="30"/>
        <v/>
      </c>
      <c r="AB79" s="24" t="str">
        <f t="shared" si="30"/>
        <v/>
      </c>
      <c r="AC79" s="24" t="str">
        <f t="shared" si="30"/>
        <v/>
      </c>
      <c r="AD79" s="24" t="str">
        <f t="shared" si="30"/>
        <v/>
      </c>
      <c r="AE79" s="24" t="str">
        <f t="shared" si="31"/>
        <v/>
      </c>
      <c r="AF79" s="24" t="str">
        <f t="shared" si="31"/>
        <v/>
      </c>
      <c r="AG79" s="24" t="str">
        <f t="shared" si="31"/>
        <v/>
      </c>
      <c r="AH79" s="24" t="str">
        <f t="shared" si="31"/>
        <v/>
      </c>
      <c r="AI79" s="24" t="str">
        <f t="shared" si="31"/>
        <v/>
      </c>
      <c r="AJ79" s="24" t="str">
        <f t="shared" si="31"/>
        <v/>
      </c>
      <c r="AK79" s="24" t="str">
        <f t="shared" si="31"/>
        <v/>
      </c>
      <c r="AL79" s="24" t="str">
        <f t="shared" si="31"/>
        <v/>
      </c>
      <c r="AM79" s="24" t="str">
        <f t="shared" si="31"/>
        <v/>
      </c>
      <c r="AN79" s="24" t="str">
        <f t="shared" si="31"/>
        <v/>
      </c>
      <c r="AO79" t="str">
        <f>IF($C79="Phase",IF($AR79=0,"",IF(COUNT(E80:INDEX(E$6:E$156,74+$AR79))=0,"",MIN(E80:INDEX(E$6:E$156,74+$AR79)))),IF($E79="","",$E79))</f>
        <v/>
      </c>
      <c r="AP79" t="str">
        <f>IF($C79="Phase",IF($AO79="","",MAX(G80:INDEX(G$6:G$156,74+$AR79))),IF($G79="","",$G79))</f>
        <v/>
      </c>
      <c r="AQ79">
        <f>IF($C79="Phase",IF($AR79=0,0,IF(SUM(F80:INDEX(F$6:F$156,74+$AR79))=0,0,SUMPRODUCT(F80:INDEX(F$6:F$156,74+$AR79),H80:INDEX(H$6:H$156,74+$AR79))/SUM(F80:INDEX(F$6:F$156,74+$AR79)))),N($H79))</f>
        <v>0</v>
      </c>
      <c r="AR79">
        <f>IF($C79&lt;&gt;"Phase",0,IFERROR(MATCH("Phase",$C80:$C$156,0)-1,76))</f>
        <v>0</v>
      </c>
      <c r="AS79" t="str">
        <f t="shared" si="28"/>
        <v/>
      </c>
    </row>
    <row r="80" spans="1:45" x14ac:dyDescent="0.3">
      <c r="A80" s="19"/>
      <c r="B80" s="19"/>
      <c r="C80" s="19"/>
      <c r="D80" s="19"/>
      <c r="E80" s="20"/>
      <c r="F80" s="19"/>
      <c r="G80" s="21" t="str">
        <f>IF($C80="Phase",$AP80,IF(OR($E80="",$F80=""),"",IF(N($F80)&lt;=0,$E80,WORKDAY.INTL($E80,$F80-1,Settings!$B$9,Holidays!$A$4:$A$103))))</f>
        <v/>
      </c>
      <c r="H80" s="22"/>
      <c r="I80" s="23" t="str">
        <f t="shared" ca="1" si="27"/>
        <v/>
      </c>
      <c r="J80" s="19"/>
      <c r="K80" s="24" t="str">
        <f t="shared" si="29"/>
        <v/>
      </c>
      <c r="L80" s="24" t="str">
        <f t="shared" si="29"/>
        <v/>
      </c>
      <c r="M80" s="24" t="str">
        <f t="shared" si="29"/>
        <v/>
      </c>
      <c r="N80" s="24" t="str">
        <f t="shared" si="29"/>
        <v/>
      </c>
      <c r="O80" s="24" t="str">
        <f t="shared" si="29"/>
        <v/>
      </c>
      <c r="P80" s="24" t="str">
        <f t="shared" si="29"/>
        <v/>
      </c>
      <c r="Q80" s="24" t="str">
        <f t="shared" si="29"/>
        <v/>
      </c>
      <c r="R80" s="24" t="str">
        <f t="shared" si="29"/>
        <v/>
      </c>
      <c r="S80" s="24" t="str">
        <f t="shared" si="29"/>
        <v/>
      </c>
      <c r="T80" s="24" t="str">
        <f t="shared" si="29"/>
        <v/>
      </c>
      <c r="U80" s="24" t="str">
        <f t="shared" si="30"/>
        <v/>
      </c>
      <c r="V80" s="24" t="str">
        <f t="shared" si="30"/>
        <v/>
      </c>
      <c r="W80" s="24" t="str">
        <f t="shared" si="30"/>
        <v/>
      </c>
      <c r="X80" s="24" t="str">
        <f t="shared" si="30"/>
        <v/>
      </c>
      <c r="Y80" s="24" t="str">
        <f t="shared" si="30"/>
        <v/>
      </c>
      <c r="Z80" s="24" t="str">
        <f t="shared" si="30"/>
        <v/>
      </c>
      <c r="AA80" s="24" t="str">
        <f t="shared" si="30"/>
        <v/>
      </c>
      <c r="AB80" s="24" t="str">
        <f t="shared" si="30"/>
        <v/>
      </c>
      <c r="AC80" s="24" t="str">
        <f t="shared" si="30"/>
        <v/>
      </c>
      <c r="AD80" s="24" t="str">
        <f t="shared" si="30"/>
        <v/>
      </c>
      <c r="AE80" s="24" t="str">
        <f t="shared" si="31"/>
        <v/>
      </c>
      <c r="AF80" s="24" t="str">
        <f t="shared" si="31"/>
        <v/>
      </c>
      <c r="AG80" s="24" t="str">
        <f t="shared" si="31"/>
        <v/>
      </c>
      <c r="AH80" s="24" t="str">
        <f t="shared" si="31"/>
        <v/>
      </c>
      <c r="AI80" s="24" t="str">
        <f t="shared" si="31"/>
        <v/>
      </c>
      <c r="AJ80" s="24" t="str">
        <f t="shared" si="31"/>
        <v/>
      </c>
      <c r="AK80" s="24" t="str">
        <f t="shared" si="31"/>
        <v/>
      </c>
      <c r="AL80" s="24" t="str">
        <f t="shared" si="31"/>
        <v/>
      </c>
      <c r="AM80" s="24" t="str">
        <f t="shared" si="31"/>
        <v/>
      </c>
      <c r="AN80" s="24" t="str">
        <f t="shared" si="31"/>
        <v/>
      </c>
      <c r="AO80" t="str">
        <f>IF($C80="Phase",IF($AR80=0,"",IF(COUNT(E81:INDEX(E$6:E$156,75+$AR80))=0,"",MIN(E81:INDEX(E$6:E$156,75+$AR80)))),IF($E80="","",$E80))</f>
        <v/>
      </c>
      <c r="AP80" t="str">
        <f>IF($C80="Phase",IF($AO80="","",MAX(G81:INDEX(G$6:G$156,75+$AR80))),IF($G80="","",$G80))</f>
        <v/>
      </c>
      <c r="AQ80">
        <f>IF($C80="Phase",IF($AR80=0,0,IF(SUM(F81:INDEX(F$6:F$156,75+$AR80))=0,0,SUMPRODUCT(F81:INDEX(F$6:F$156,75+$AR80),H81:INDEX(H$6:H$156,75+$AR80))/SUM(F81:INDEX(F$6:F$156,75+$AR80)))),N($H80))</f>
        <v>0</v>
      </c>
      <c r="AR80">
        <f>IF($C80&lt;&gt;"Phase",0,IFERROR(MATCH("Phase",$C81:$C$156,0)-1,75))</f>
        <v>0</v>
      </c>
      <c r="AS80" t="str">
        <f t="shared" si="28"/>
        <v/>
      </c>
    </row>
    <row r="81" spans="1:45" x14ac:dyDescent="0.3">
      <c r="A81" s="19"/>
      <c r="B81" s="19"/>
      <c r="C81" s="19"/>
      <c r="D81" s="19"/>
      <c r="E81" s="20"/>
      <c r="F81" s="19"/>
      <c r="G81" s="21" t="str">
        <f>IF($C81="Phase",$AP81,IF(OR($E81="",$F81=""),"",IF(N($F81)&lt;=0,$E81,WORKDAY.INTL($E81,$F81-1,Settings!$B$9,Holidays!$A$4:$A$103))))</f>
        <v/>
      </c>
      <c r="H81" s="22"/>
      <c r="I81" s="23" t="str">
        <f t="shared" ca="1" si="27"/>
        <v/>
      </c>
      <c r="J81" s="19"/>
      <c r="K81" s="24" t="str">
        <f t="shared" si="29"/>
        <v/>
      </c>
      <c r="L81" s="24" t="str">
        <f t="shared" si="29"/>
        <v/>
      </c>
      <c r="M81" s="24" t="str">
        <f t="shared" si="29"/>
        <v/>
      </c>
      <c r="N81" s="24" t="str">
        <f t="shared" si="29"/>
        <v/>
      </c>
      <c r="O81" s="24" t="str">
        <f t="shared" si="29"/>
        <v/>
      </c>
      <c r="P81" s="24" t="str">
        <f t="shared" si="29"/>
        <v/>
      </c>
      <c r="Q81" s="24" t="str">
        <f t="shared" si="29"/>
        <v/>
      </c>
      <c r="R81" s="24" t="str">
        <f t="shared" si="29"/>
        <v/>
      </c>
      <c r="S81" s="24" t="str">
        <f t="shared" si="29"/>
        <v/>
      </c>
      <c r="T81" s="24" t="str">
        <f t="shared" si="29"/>
        <v/>
      </c>
      <c r="U81" s="24" t="str">
        <f t="shared" si="30"/>
        <v/>
      </c>
      <c r="V81" s="24" t="str">
        <f t="shared" si="30"/>
        <v/>
      </c>
      <c r="W81" s="24" t="str">
        <f t="shared" si="30"/>
        <v/>
      </c>
      <c r="X81" s="24" t="str">
        <f t="shared" si="30"/>
        <v/>
      </c>
      <c r="Y81" s="24" t="str">
        <f t="shared" si="30"/>
        <v/>
      </c>
      <c r="Z81" s="24" t="str">
        <f t="shared" si="30"/>
        <v/>
      </c>
      <c r="AA81" s="24" t="str">
        <f t="shared" si="30"/>
        <v/>
      </c>
      <c r="AB81" s="24" t="str">
        <f t="shared" si="30"/>
        <v/>
      </c>
      <c r="AC81" s="24" t="str">
        <f t="shared" si="30"/>
        <v/>
      </c>
      <c r="AD81" s="24" t="str">
        <f t="shared" si="30"/>
        <v/>
      </c>
      <c r="AE81" s="24" t="str">
        <f t="shared" si="31"/>
        <v/>
      </c>
      <c r="AF81" s="24" t="str">
        <f t="shared" si="31"/>
        <v/>
      </c>
      <c r="AG81" s="24" t="str">
        <f t="shared" si="31"/>
        <v/>
      </c>
      <c r="AH81" s="24" t="str">
        <f t="shared" si="31"/>
        <v/>
      </c>
      <c r="AI81" s="24" t="str">
        <f t="shared" si="31"/>
        <v/>
      </c>
      <c r="AJ81" s="24" t="str">
        <f t="shared" si="31"/>
        <v/>
      </c>
      <c r="AK81" s="24" t="str">
        <f t="shared" si="31"/>
        <v/>
      </c>
      <c r="AL81" s="24" t="str">
        <f t="shared" si="31"/>
        <v/>
      </c>
      <c r="AM81" s="24" t="str">
        <f t="shared" si="31"/>
        <v/>
      </c>
      <c r="AN81" s="24" t="str">
        <f t="shared" si="31"/>
        <v/>
      </c>
      <c r="AO81" t="str">
        <f>IF($C81="Phase",IF($AR81=0,"",IF(COUNT(E82:INDEX(E$6:E$156,76+$AR81))=0,"",MIN(E82:INDEX(E$6:E$156,76+$AR81)))),IF($E81="","",$E81))</f>
        <v/>
      </c>
      <c r="AP81" t="str">
        <f>IF($C81="Phase",IF($AO81="","",MAX(G82:INDEX(G$6:G$156,76+$AR81))),IF($G81="","",$G81))</f>
        <v/>
      </c>
      <c r="AQ81">
        <f>IF($C81="Phase",IF($AR81=0,0,IF(SUM(F82:INDEX(F$6:F$156,76+$AR81))=0,0,SUMPRODUCT(F82:INDEX(F$6:F$156,76+$AR81),H82:INDEX(H$6:H$156,76+$AR81))/SUM(F82:INDEX(F$6:F$156,76+$AR81)))),N($H81))</f>
        <v>0</v>
      </c>
      <c r="AR81">
        <f>IF($C81&lt;&gt;"Phase",0,IFERROR(MATCH("Phase",$C82:$C$156,0)-1,74))</f>
        <v>0</v>
      </c>
      <c r="AS81" t="str">
        <f t="shared" si="28"/>
        <v/>
      </c>
    </row>
    <row r="82" spans="1:45" x14ac:dyDescent="0.3">
      <c r="A82" s="19"/>
      <c r="B82" s="19"/>
      <c r="C82" s="19"/>
      <c r="D82" s="19"/>
      <c r="E82" s="20"/>
      <c r="F82" s="19"/>
      <c r="G82" s="21" t="str">
        <f>IF($C82="Phase",$AP82,IF(OR($E82="",$F82=""),"",IF(N($F82)&lt;=0,$E82,WORKDAY.INTL($E82,$F82-1,Settings!$B$9,Holidays!$A$4:$A$103))))</f>
        <v/>
      </c>
      <c r="H82" s="22"/>
      <c r="I82" s="23" t="str">
        <f t="shared" ca="1" si="27"/>
        <v/>
      </c>
      <c r="J82" s="19"/>
      <c r="K82" s="24" t="str">
        <f t="shared" si="29"/>
        <v/>
      </c>
      <c r="L82" s="24" t="str">
        <f t="shared" si="29"/>
        <v/>
      </c>
      <c r="M82" s="24" t="str">
        <f t="shared" si="29"/>
        <v/>
      </c>
      <c r="N82" s="24" t="str">
        <f t="shared" si="29"/>
        <v/>
      </c>
      <c r="O82" s="24" t="str">
        <f t="shared" si="29"/>
        <v/>
      </c>
      <c r="P82" s="24" t="str">
        <f t="shared" si="29"/>
        <v/>
      </c>
      <c r="Q82" s="24" t="str">
        <f t="shared" si="29"/>
        <v/>
      </c>
      <c r="R82" s="24" t="str">
        <f t="shared" si="29"/>
        <v/>
      </c>
      <c r="S82" s="24" t="str">
        <f t="shared" si="29"/>
        <v/>
      </c>
      <c r="T82" s="24" t="str">
        <f t="shared" si="29"/>
        <v/>
      </c>
      <c r="U82" s="24" t="str">
        <f t="shared" si="30"/>
        <v/>
      </c>
      <c r="V82" s="24" t="str">
        <f t="shared" si="30"/>
        <v/>
      </c>
      <c r="W82" s="24" t="str">
        <f t="shared" si="30"/>
        <v/>
      </c>
      <c r="X82" s="24" t="str">
        <f t="shared" si="30"/>
        <v/>
      </c>
      <c r="Y82" s="24" t="str">
        <f t="shared" si="30"/>
        <v/>
      </c>
      <c r="Z82" s="24" t="str">
        <f t="shared" si="30"/>
        <v/>
      </c>
      <c r="AA82" s="24" t="str">
        <f t="shared" si="30"/>
        <v/>
      </c>
      <c r="AB82" s="24" t="str">
        <f t="shared" si="30"/>
        <v/>
      </c>
      <c r="AC82" s="24" t="str">
        <f t="shared" si="30"/>
        <v/>
      </c>
      <c r="AD82" s="24" t="str">
        <f t="shared" si="30"/>
        <v/>
      </c>
      <c r="AE82" s="24" t="str">
        <f t="shared" si="31"/>
        <v/>
      </c>
      <c r="AF82" s="24" t="str">
        <f t="shared" si="31"/>
        <v/>
      </c>
      <c r="AG82" s="24" t="str">
        <f t="shared" si="31"/>
        <v/>
      </c>
      <c r="AH82" s="24" t="str">
        <f t="shared" si="31"/>
        <v/>
      </c>
      <c r="AI82" s="24" t="str">
        <f t="shared" si="31"/>
        <v/>
      </c>
      <c r="AJ82" s="24" t="str">
        <f t="shared" si="31"/>
        <v/>
      </c>
      <c r="AK82" s="24" t="str">
        <f t="shared" si="31"/>
        <v/>
      </c>
      <c r="AL82" s="24" t="str">
        <f t="shared" si="31"/>
        <v/>
      </c>
      <c r="AM82" s="24" t="str">
        <f t="shared" si="31"/>
        <v/>
      </c>
      <c r="AN82" s="24" t="str">
        <f t="shared" si="31"/>
        <v/>
      </c>
      <c r="AO82" t="str">
        <f>IF($C82="Phase",IF($AR82=0,"",IF(COUNT(E83:INDEX(E$6:E$156,77+$AR82))=0,"",MIN(E83:INDEX(E$6:E$156,77+$AR82)))),IF($E82="","",$E82))</f>
        <v/>
      </c>
      <c r="AP82" t="str">
        <f>IF($C82="Phase",IF($AO82="","",MAX(G83:INDEX(G$6:G$156,77+$AR82))),IF($G82="","",$G82))</f>
        <v/>
      </c>
      <c r="AQ82">
        <f>IF($C82="Phase",IF($AR82=0,0,IF(SUM(F83:INDEX(F$6:F$156,77+$AR82))=0,0,SUMPRODUCT(F83:INDEX(F$6:F$156,77+$AR82),H83:INDEX(H$6:H$156,77+$AR82))/SUM(F83:INDEX(F$6:F$156,77+$AR82)))),N($H82))</f>
        <v>0</v>
      </c>
      <c r="AR82">
        <f>IF($C82&lt;&gt;"Phase",0,IFERROR(MATCH("Phase",$C83:$C$156,0)-1,73))</f>
        <v>0</v>
      </c>
      <c r="AS82" t="str">
        <f t="shared" si="28"/>
        <v/>
      </c>
    </row>
    <row r="83" spans="1:45" x14ac:dyDescent="0.3">
      <c r="A83" s="19"/>
      <c r="B83" s="19"/>
      <c r="C83" s="19"/>
      <c r="D83" s="19"/>
      <c r="E83" s="20"/>
      <c r="F83" s="19"/>
      <c r="G83" s="21" t="str">
        <f>IF($C83="Phase",$AP83,IF(OR($E83="",$F83=""),"",IF(N($F83)&lt;=0,$E83,WORKDAY.INTL($E83,$F83-1,Settings!$B$9,Holidays!$A$4:$A$103))))</f>
        <v/>
      </c>
      <c r="H83" s="22"/>
      <c r="I83" s="23" t="str">
        <f t="shared" ca="1" si="27"/>
        <v/>
      </c>
      <c r="J83" s="19"/>
      <c r="K83" s="24" t="str">
        <f t="shared" si="29"/>
        <v/>
      </c>
      <c r="L83" s="24" t="str">
        <f t="shared" si="29"/>
        <v/>
      </c>
      <c r="M83" s="24" t="str">
        <f t="shared" si="29"/>
        <v/>
      </c>
      <c r="N83" s="24" t="str">
        <f t="shared" si="29"/>
        <v/>
      </c>
      <c r="O83" s="24" t="str">
        <f t="shared" si="29"/>
        <v/>
      </c>
      <c r="P83" s="24" t="str">
        <f t="shared" si="29"/>
        <v/>
      </c>
      <c r="Q83" s="24" t="str">
        <f t="shared" si="29"/>
        <v/>
      </c>
      <c r="R83" s="24" t="str">
        <f t="shared" si="29"/>
        <v/>
      </c>
      <c r="S83" s="24" t="str">
        <f t="shared" si="29"/>
        <v/>
      </c>
      <c r="T83" s="24" t="str">
        <f t="shared" si="29"/>
        <v/>
      </c>
      <c r="U83" s="24" t="str">
        <f t="shared" si="30"/>
        <v/>
      </c>
      <c r="V83" s="24" t="str">
        <f t="shared" si="30"/>
        <v/>
      </c>
      <c r="W83" s="24" t="str">
        <f t="shared" si="30"/>
        <v/>
      </c>
      <c r="X83" s="24" t="str">
        <f t="shared" si="30"/>
        <v/>
      </c>
      <c r="Y83" s="24" t="str">
        <f t="shared" si="30"/>
        <v/>
      </c>
      <c r="Z83" s="24" t="str">
        <f t="shared" si="30"/>
        <v/>
      </c>
      <c r="AA83" s="24" t="str">
        <f t="shared" si="30"/>
        <v/>
      </c>
      <c r="AB83" s="24" t="str">
        <f t="shared" si="30"/>
        <v/>
      </c>
      <c r="AC83" s="24" t="str">
        <f t="shared" si="30"/>
        <v/>
      </c>
      <c r="AD83" s="24" t="str">
        <f t="shared" si="30"/>
        <v/>
      </c>
      <c r="AE83" s="24" t="str">
        <f t="shared" si="31"/>
        <v/>
      </c>
      <c r="AF83" s="24" t="str">
        <f t="shared" si="31"/>
        <v/>
      </c>
      <c r="AG83" s="24" t="str">
        <f t="shared" si="31"/>
        <v/>
      </c>
      <c r="AH83" s="24" t="str">
        <f t="shared" si="31"/>
        <v/>
      </c>
      <c r="AI83" s="24" t="str">
        <f t="shared" si="31"/>
        <v/>
      </c>
      <c r="AJ83" s="24" t="str">
        <f t="shared" si="31"/>
        <v/>
      </c>
      <c r="AK83" s="24" t="str">
        <f t="shared" si="31"/>
        <v/>
      </c>
      <c r="AL83" s="24" t="str">
        <f t="shared" si="31"/>
        <v/>
      </c>
      <c r="AM83" s="24" t="str">
        <f t="shared" si="31"/>
        <v/>
      </c>
      <c r="AN83" s="24" t="str">
        <f t="shared" si="31"/>
        <v/>
      </c>
      <c r="AO83" t="str">
        <f>IF($C83="Phase",IF($AR83=0,"",IF(COUNT(E84:INDEX(E$6:E$156,78+$AR83))=0,"",MIN(E84:INDEX(E$6:E$156,78+$AR83)))),IF($E83="","",$E83))</f>
        <v/>
      </c>
      <c r="AP83" t="str">
        <f>IF($C83="Phase",IF($AO83="","",MAX(G84:INDEX(G$6:G$156,78+$AR83))),IF($G83="","",$G83))</f>
        <v/>
      </c>
      <c r="AQ83">
        <f>IF($C83="Phase",IF($AR83=0,0,IF(SUM(F84:INDEX(F$6:F$156,78+$AR83))=0,0,SUMPRODUCT(F84:INDEX(F$6:F$156,78+$AR83),H84:INDEX(H$6:H$156,78+$AR83))/SUM(F84:INDEX(F$6:F$156,78+$AR83)))),N($H83))</f>
        <v>0</v>
      </c>
      <c r="AR83">
        <f>IF($C83&lt;&gt;"Phase",0,IFERROR(MATCH("Phase",$C84:$C$156,0)-1,72))</f>
        <v>0</v>
      </c>
      <c r="AS83" t="str">
        <f t="shared" si="28"/>
        <v/>
      </c>
    </row>
    <row r="84" spans="1:45" x14ac:dyDescent="0.3">
      <c r="A84" s="19"/>
      <c r="B84" s="19"/>
      <c r="C84" s="19"/>
      <c r="D84" s="19"/>
      <c r="E84" s="20"/>
      <c r="F84" s="19"/>
      <c r="G84" s="21" t="str">
        <f>IF($C84="Phase",$AP84,IF(OR($E84="",$F84=""),"",IF(N($F84)&lt;=0,$E84,WORKDAY.INTL($E84,$F84-1,Settings!$B$9,Holidays!$A$4:$A$103))))</f>
        <v/>
      </c>
      <c r="H84" s="22"/>
      <c r="I84" s="23" t="str">
        <f t="shared" ca="1" si="27"/>
        <v/>
      </c>
      <c r="J84" s="19"/>
      <c r="K84" s="24" t="str">
        <f t="shared" si="29"/>
        <v/>
      </c>
      <c r="L84" s="24" t="str">
        <f t="shared" si="29"/>
        <v/>
      </c>
      <c r="M84" s="24" t="str">
        <f t="shared" si="29"/>
        <v/>
      </c>
      <c r="N84" s="24" t="str">
        <f t="shared" si="29"/>
        <v/>
      </c>
      <c r="O84" s="24" t="str">
        <f t="shared" si="29"/>
        <v/>
      </c>
      <c r="P84" s="24" t="str">
        <f t="shared" si="29"/>
        <v/>
      </c>
      <c r="Q84" s="24" t="str">
        <f t="shared" si="29"/>
        <v/>
      </c>
      <c r="R84" s="24" t="str">
        <f t="shared" si="29"/>
        <v/>
      </c>
      <c r="S84" s="24" t="str">
        <f t="shared" si="29"/>
        <v/>
      </c>
      <c r="T84" s="24" t="str">
        <f t="shared" si="29"/>
        <v/>
      </c>
      <c r="U84" s="24" t="str">
        <f t="shared" si="30"/>
        <v/>
      </c>
      <c r="V84" s="24" t="str">
        <f t="shared" si="30"/>
        <v/>
      </c>
      <c r="W84" s="24" t="str">
        <f t="shared" si="30"/>
        <v/>
      </c>
      <c r="X84" s="24" t="str">
        <f t="shared" si="30"/>
        <v/>
      </c>
      <c r="Y84" s="24" t="str">
        <f t="shared" si="30"/>
        <v/>
      </c>
      <c r="Z84" s="24" t="str">
        <f t="shared" si="30"/>
        <v/>
      </c>
      <c r="AA84" s="24" t="str">
        <f t="shared" si="30"/>
        <v/>
      </c>
      <c r="AB84" s="24" t="str">
        <f t="shared" si="30"/>
        <v/>
      </c>
      <c r="AC84" s="24" t="str">
        <f t="shared" si="30"/>
        <v/>
      </c>
      <c r="AD84" s="24" t="str">
        <f t="shared" si="30"/>
        <v/>
      </c>
      <c r="AE84" s="24" t="str">
        <f t="shared" si="31"/>
        <v/>
      </c>
      <c r="AF84" s="24" t="str">
        <f t="shared" si="31"/>
        <v/>
      </c>
      <c r="AG84" s="24" t="str">
        <f t="shared" si="31"/>
        <v/>
      </c>
      <c r="AH84" s="24" t="str">
        <f t="shared" si="31"/>
        <v/>
      </c>
      <c r="AI84" s="24" t="str">
        <f t="shared" si="31"/>
        <v/>
      </c>
      <c r="AJ84" s="24" t="str">
        <f t="shared" si="31"/>
        <v/>
      </c>
      <c r="AK84" s="24" t="str">
        <f t="shared" si="31"/>
        <v/>
      </c>
      <c r="AL84" s="24" t="str">
        <f t="shared" si="31"/>
        <v/>
      </c>
      <c r="AM84" s="24" t="str">
        <f t="shared" si="31"/>
        <v/>
      </c>
      <c r="AN84" s="24" t="str">
        <f t="shared" si="31"/>
        <v/>
      </c>
      <c r="AO84" t="str">
        <f>IF($C84="Phase",IF($AR84=0,"",IF(COUNT(E85:INDEX(E$6:E$156,79+$AR84))=0,"",MIN(E85:INDEX(E$6:E$156,79+$AR84)))),IF($E84="","",$E84))</f>
        <v/>
      </c>
      <c r="AP84" t="str">
        <f>IF($C84="Phase",IF($AO84="","",MAX(G85:INDEX(G$6:G$156,79+$AR84))),IF($G84="","",$G84))</f>
        <v/>
      </c>
      <c r="AQ84">
        <f>IF($C84="Phase",IF($AR84=0,0,IF(SUM(F85:INDEX(F$6:F$156,79+$AR84))=0,0,SUMPRODUCT(F85:INDEX(F$6:F$156,79+$AR84),H85:INDEX(H$6:H$156,79+$AR84))/SUM(F85:INDEX(F$6:F$156,79+$AR84)))),N($H84))</f>
        <v>0</v>
      </c>
      <c r="AR84">
        <f>IF($C84&lt;&gt;"Phase",0,IFERROR(MATCH("Phase",$C85:$C$156,0)-1,71))</f>
        <v>0</v>
      </c>
      <c r="AS84" t="str">
        <f t="shared" si="28"/>
        <v/>
      </c>
    </row>
    <row r="85" spans="1:45" x14ac:dyDescent="0.3">
      <c r="A85" s="19"/>
      <c r="B85" s="19"/>
      <c r="C85" s="19"/>
      <c r="D85" s="19"/>
      <c r="E85" s="20"/>
      <c r="F85" s="19"/>
      <c r="G85" s="21" t="str">
        <f>IF($C85="Phase",$AP85,IF(OR($E85="",$F85=""),"",IF(N($F85)&lt;=0,$E85,WORKDAY.INTL($E85,$F85-1,Settings!$B$9,Holidays!$A$4:$A$103))))</f>
        <v/>
      </c>
      <c r="H85" s="22"/>
      <c r="I85" s="23" t="str">
        <f t="shared" ca="1" si="27"/>
        <v/>
      </c>
      <c r="J85" s="19"/>
      <c r="K85" s="24" t="str">
        <f t="shared" si="29"/>
        <v/>
      </c>
      <c r="L85" s="24" t="str">
        <f t="shared" si="29"/>
        <v/>
      </c>
      <c r="M85" s="24" t="str">
        <f t="shared" si="29"/>
        <v/>
      </c>
      <c r="N85" s="24" t="str">
        <f t="shared" si="29"/>
        <v/>
      </c>
      <c r="O85" s="24" t="str">
        <f t="shared" si="29"/>
        <v/>
      </c>
      <c r="P85" s="24" t="str">
        <f t="shared" si="29"/>
        <v/>
      </c>
      <c r="Q85" s="24" t="str">
        <f t="shared" si="29"/>
        <v/>
      </c>
      <c r="R85" s="24" t="str">
        <f t="shared" si="29"/>
        <v/>
      </c>
      <c r="S85" s="24" t="str">
        <f t="shared" si="29"/>
        <v/>
      </c>
      <c r="T85" s="24" t="str">
        <f t="shared" si="29"/>
        <v/>
      </c>
      <c r="U85" s="24" t="str">
        <f t="shared" si="30"/>
        <v/>
      </c>
      <c r="V85" s="24" t="str">
        <f t="shared" si="30"/>
        <v/>
      </c>
      <c r="W85" s="24" t="str">
        <f t="shared" si="30"/>
        <v/>
      </c>
      <c r="X85" s="24" t="str">
        <f t="shared" si="30"/>
        <v/>
      </c>
      <c r="Y85" s="24" t="str">
        <f t="shared" si="30"/>
        <v/>
      </c>
      <c r="Z85" s="24" t="str">
        <f t="shared" si="30"/>
        <v/>
      </c>
      <c r="AA85" s="24" t="str">
        <f t="shared" si="30"/>
        <v/>
      </c>
      <c r="AB85" s="24" t="str">
        <f t="shared" si="30"/>
        <v/>
      </c>
      <c r="AC85" s="24" t="str">
        <f t="shared" si="30"/>
        <v/>
      </c>
      <c r="AD85" s="24" t="str">
        <f t="shared" si="30"/>
        <v/>
      </c>
      <c r="AE85" s="24" t="str">
        <f t="shared" si="31"/>
        <v/>
      </c>
      <c r="AF85" s="24" t="str">
        <f t="shared" si="31"/>
        <v/>
      </c>
      <c r="AG85" s="24" t="str">
        <f t="shared" si="31"/>
        <v/>
      </c>
      <c r="AH85" s="24" t="str">
        <f t="shared" si="31"/>
        <v/>
      </c>
      <c r="AI85" s="24" t="str">
        <f t="shared" si="31"/>
        <v/>
      </c>
      <c r="AJ85" s="24" t="str">
        <f t="shared" si="31"/>
        <v/>
      </c>
      <c r="AK85" s="24" t="str">
        <f t="shared" si="31"/>
        <v/>
      </c>
      <c r="AL85" s="24" t="str">
        <f t="shared" si="31"/>
        <v/>
      </c>
      <c r="AM85" s="24" t="str">
        <f t="shared" si="31"/>
        <v/>
      </c>
      <c r="AN85" s="24" t="str">
        <f t="shared" si="31"/>
        <v/>
      </c>
      <c r="AO85" t="str">
        <f>IF($C85="Phase",IF($AR85=0,"",IF(COUNT(E86:INDEX(E$6:E$156,80+$AR85))=0,"",MIN(E86:INDEX(E$6:E$156,80+$AR85)))),IF($E85="","",$E85))</f>
        <v/>
      </c>
      <c r="AP85" t="str">
        <f>IF($C85="Phase",IF($AO85="","",MAX(G86:INDEX(G$6:G$156,80+$AR85))),IF($G85="","",$G85))</f>
        <v/>
      </c>
      <c r="AQ85">
        <f>IF($C85="Phase",IF($AR85=0,0,IF(SUM(F86:INDEX(F$6:F$156,80+$AR85))=0,0,SUMPRODUCT(F86:INDEX(F$6:F$156,80+$AR85),H86:INDEX(H$6:H$156,80+$AR85))/SUM(F86:INDEX(F$6:F$156,80+$AR85)))),N($H85))</f>
        <v>0</v>
      </c>
      <c r="AR85">
        <f>IF($C85&lt;&gt;"Phase",0,IFERROR(MATCH("Phase",$C86:$C$156,0)-1,70))</f>
        <v>0</v>
      </c>
      <c r="AS85" t="str">
        <f t="shared" si="28"/>
        <v/>
      </c>
    </row>
    <row r="86" spans="1:45" x14ac:dyDescent="0.3">
      <c r="A86" s="19"/>
      <c r="B86" s="19"/>
      <c r="C86" s="19"/>
      <c r="D86" s="19"/>
      <c r="E86" s="20"/>
      <c r="F86" s="19"/>
      <c r="G86" s="21" t="str">
        <f>IF($C86="Phase",$AP86,IF(OR($E86="",$F86=""),"",IF(N($F86)&lt;=0,$E86,WORKDAY.INTL($E86,$F86-1,Settings!$B$9,Holidays!$A$4:$A$103))))</f>
        <v/>
      </c>
      <c r="H86" s="22"/>
      <c r="I86" s="23" t="str">
        <f t="shared" ca="1" si="27"/>
        <v/>
      </c>
      <c r="J86" s="19"/>
      <c r="K86" s="24" t="str">
        <f t="shared" ref="K86:T95" si="32">IF(AND($C86="Milestone",$AP86&lt;&gt;""),IF(AND($AP86&gt;=K$5,$AP86&lt;K$5+$AO$3),"◆",""),"")</f>
        <v/>
      </c>
      <c r="L86" s="24" t="str">
        <f t="shared" si="32"/>
        <v/>
      </c>
      <c r="M86" s="24" t="str">
        <f t="shared" si="32"/>
        <v/>
      </c>
      <c r="N86" s="24" t="str">
        <f t="shared" si="32"/>
        <v/>
      </c>
      <c r="O86" s="24" t="str">
        <f t="shared" si="32"/>
        <v/>
      </c>
      <c r="P86" s="24" t="str">
        <f t="shared" si="32"/>
        <v/>
      </c>
      <c r="Q86" s="24" t="str">
        <f t="shared" si="32"/>
        <v/>
      </c>
      <c r="R86" s="24" t="str">
        <f t="shared" si="32"/>
        <v/>
      </c>
      <c r="S86" s="24" t="str">
        <f t="shared" si="32"/>
        <v/>
      </c>
      <c r="T86" s="24" t="str">
        <f t="shared" si="32"/>
        <v/>
      </c>
      <c r="U86" s="24" t="str">
        <f t="shared" ref="U86:AD95" si="33">IF(AND($C86="Milestone",$AP86&lt;&gt;""),IF(AND($AP86&gt;=U$5,$AP86&lt;U$5+$AO$3),"◆",""),"")</f>
        <v/>
      </c>
      <c r="V86" s="24" t="str">
        <f t="shared" si="33"/>
        <v/>
      </c>
      <c r="W86" s="24" t="str">
        <f t="shared" si="33"/>
        <v/>
      </c>
      <c r="X86" s="24" t="str">
        <f t="shared" si="33"/>
        <v/>
      </c>
      <c r="Y86" s="24" t="str">
        <f t="shared" si="33"/>
        <v/>
      </c>
      <c r="Z86" s="24" t="str">
        <f t="shared" si="33"/>
        <v/>
      </c>
      <c r="AA86" s="24" t="str">
        <f t="shared" si="33"/>
        <v/>
      </c>
      <c r="AB86" s="24" t="str">
        <f t="shared" si="33"/>
        <v/>
      </c>
      <c r="AC86" s="24" t="str">
        <f t="shared" si="33"/>
        <v/>
      </c>
      <c r="AD86" s="24" t="str">
        <f t="shared" si="33"/>
        <v/>
      </c>
      <c r="AE86" s="24" t="str">
        <f t="shared" ref="AE86:AN95" si="34">IF(AND($C86="Milestone",$AP86&lt;&gt;""),IF(AND($AP86&gt;=AE$5,$AP86&lt;AE$5+$AO$3),"◆",""),"")</f>
        <v/>
      </c>
      <c r="AF86" s="24" t="str">
        <f t="shared" si="34"/>
        <v/>
      </c>
      <c r="AG86" s="24" t="str">
        <f t="shared" si="34"/>
        <v/>
      </c>
      <c r="AH86" s="24" t="str">
        <f t="shared" si="34"/>
        <v/>
      </c>
      <c r="AI86" s="24" t="str">
        <f t="shared" si="34"/>
        <v/>
      </c>
      <c r="AJ86" s="24" t="str">
        <f t="shared" si="34"/>
        <v/>
      </c>
      <c r="AK86" s="24" t="str">
        <f t="shared" si="34"/>
        <v/>
      </c>
      <c r="AL86" s="24" t="str">
        <f t="shared" si="34"/>
        <v/>
      </c>
      <c r="AM86" s="24" t="str">
        <f t="shared" si="34"/>
        <v/>
      </c>
      <c r="AN86" s="24" t="str">
        <f t="shared" si="34"/>
        <v/>
      </c>
      <c r="AO86" t="str">
        <f>IF($C86="Phase",IF($AR86=0,"",IF(COUNT(E87:INDEX(E$6:E$156,81+$AR86))=0,"",MIN(E87:INDEX(E$6:E$156,81+$AR86)))),IF($E86="","",$E86))</f>
        <v/>
      </c>
      <c r="AP86" t="str">
        <f>IF($C86="Phase",IF($AO86="","",MAX(G87:INDEX(G$6:G$156,81+$AR86))),IF($G86="","",$G86))</f>
        <v/>
      </c>
      <c r="AQ86">
        <f>IF($C86="Phase",IF($AR86=0,0,IF(SUM(F87:INDEX(F$6:F$156,81+$AR86))=0,0,SUMPRODUCT(F87:INDEX(F$6:F$156,81+$AR86),H87:INDEX(H$6:H$156,81+$AR86))/SUM(F87:INDEX(F$6:F$156,81+$AR86)))),N($H86))</f>
        <v>0</v>
      </c>
      <c r="AR86">
        <f>IF($C86&lt;&gt;"Phase",0,IFERROR(MATCH("Phase",$C87:$C$156,0)-1,69))</f>
        <v>0</v>
      </c>
      <c r="AS86" t="str">
        <f t="shared" si="28"/>
        <v/>
      </c>
    </row>
    <row r="87" spans="1:45" x14ac:dyDescent="0.3">
      <c r="A87" s="19"/>
      <c r="B87" s="19"/>
      <c r="C87" s="19"/>
      <c r="D87" s="19"/>
      <c r="E87" s="20"/>
      <c r="F87" s="19"/>
      <c r="G87" s="21" t="str">
        <f>IF($C87="Phase",$AP87,IF(OR($E87="",$F87=""),"",IF(N($F87)&lt;=0,$E87,WORKDAY.INTL($E87,$F87-1,Settings!$B$9,Holidays!$A$4:$A$103))))</f>
        <v/>
      </c>
      <c r="H87" s="22"/>
      <c r="I87" s="23" t="str">
        <f t="shared" ca="1" si="27"/>
        <v/>
      </c>
      <c r="J87" s="19"/>
      <c r="K87" s="24" t="str">
        <f t="shared" si="32"/>
        <v/>
      </c>
      <c r="L87" s="24" t="str">
        <f t="shared" si="32"/>
        <v/>
      </c>
      <c r="M87" s="24" t="str">
        <f t="shared" si="32"/>
        <v/>
      </c>
      <c r="N87" s="24" t="str">
        <f t="shared" si="32"/>
        <v/>
      </c>
      <c r="O87" s="24" t="str">
        <f t="shared" si="32"/>
        <v/>
      </c>
      <c r="P87" s="24" t="str">
        <f t="shared" si="32"/>
        <v/>
      </c>
      <c r="Q87" s="24" t="str">
        <f t="shared" si="32"/>
        <v/>
      </c>
      <c r="R87" s="24" t="str">
        <f t="shared" si="32"/>
        <v/>
      </c>
      <c r="S87" s="24" t="str">
        <f t="shared" si="32"/>
        <v/>
      </c>
      <c r="T87" s="24" t="str">
        <f t="shared" si="32"/>
        <v/>
      </c>
      <c r="U87" s="24" t="str">
        <f t="shared" si="33"/>
        <v/>
      </c>
      <c r="V87" s="24" t="str">
        <f t="shared" si="33"/>
        <v/>
      </c>
      <c r="W87" s="24" t="str">
        <f t="shared" si="33"/>
        <v/>
      </c>
      <c r="X87" s="24" t="str">
        <f t="shared" si="33"/>
        <v/>
      </c>
      <c r="Y87" s="24" t="str">
        <f t="shared" si="33"/>
        <v/>
      </c>
      <c r="Z87" s="24" t="str">
        <f t="shared" si="33"/>
        <v/>
      </c>
      <c r="AA87" s="24" t="str">
        <f t="shared" si="33"/>
        <v/>
      </c>
      <c r="AB87" s="24" t="str">
        <f t="shared" si="33"/>
        <v/>
      </c>
      <c r="AC87" s="24" t="str">
        <f t="shared" si="33"/>
        <v/>
      </c>
      <c r="AD87" s="24" t="str">
        <f t="shared" si="33"/>
        <v/>
      </c>
      <c r="AE87" s="24" t="str">
        <f t="shared" si="34"/>
        <v/>
      </c>
      <c r="AF87" s="24" t="str">
        <f t="shared" si="34"/>
        <v/>
      </c>
      <c r="AG87" s="24" t="str">
        <f t="shared" si="34"/>
        <v/>
      </c>
      <c r="AH87" s="24" t="str">
        <f t="shared" si="34"/>
        <v/>
      </c>
      <c r="AI87" s="24" t="str">
        <f t="shared" si="34"/>
        <v/>
      </c>
      <c r="AJ87" s="24" t="str">
        <f t="shared" si="34"/>
        <v/>
      </c>
      <c r="AK87" s="24" t="str">
        <f t="shared" si="34"/>
        <v/>
      </c>
      <c r="AL87" s="24" t="str">
        <f t="shared" si="34"/>
        <v/>
      </c>
      <c r="AM87" s="24" t="str">
        <f t="shared" si="34"/>
        <v/>
      </c>
      <c r="AN87" s="24" t="str">
        <f t="shared" si="34"/>
        <v/>
      </c>
      <c r="AO87" t="str">
        <f>IF($C87="Phase",IF($AR87=0,"",IF(COUNT(E88:INDEX(E$6:E$156,82+$AR87))=0,"",MIN(E88:INDEX(E$6:E$156,82+$AR87)))),IF($E87="","",$E87))</f>
        <v/>
      </c>
      <c r="AP87" t="str">
        <f>IF($C87="Phase",IF($AO87="","",MAX(G88:INDEX(G$6:G$156,82+$AR87))),IF($G87="","",$G87))</f>
        <v/>
      </c>
      <c r="AQ87">
        <f>IF($C87="Phase",IF($AR87=0,0,IF(SUM(F88:INDEX(F$6:F$156,82+$AR87))=0,0,SUMPRODUCT(F88:INDEX(F$6:F$156,82+$AR87),H88:INDEX(H$6:H$156,82+$AR87))/SUM(F88:INDEX(F$6:F$156,82+$AR87)))),N($H87))</f>
        <v>0</v>
      </c>
      <c r="AR87">
        <f>IF($C87&lt;&gt;"Phase",0,IFERROR(MATCH("Phase",$C88:$C$156,0)-1,68))</f>
        <v>0</v>
      </c>
      <c r="AS87" t="str">
        <f t="shared" si="28"/>
        <v/>
      </c>
    </row>
    <row r="88" spans="1:45" x14ac:dyDescent="0.3">
      <c r="A88" s="19"/>
      <c r="B88" s="19"/>
      <c r="C88" s="19"/>
      <c r="D88" s="19"/>
      <c r="E88" s="20"/>
      <c r="F88" s="19"/>
      <c r="G88" s="21" t="str">
        <f>IF($C88="Phase",$AP88,IF(OR($E88="",$F88=""),"",IF(N($F88)&lt;=0,$E88,WORKDAY.INTL($E88,$F88-1,Settings!$B$9,Holidays!$A$4:$A$103))))</f>
        <v/>
      </c>
      <c r="H88" s="22"/>
      <c r="I88" s="23" t="str">
        <f t="shared" ca="1" si="27"/>
        <v/>
      </c>
      <c r="J88" s="19"/>
      <c r="K88" s="24" t="str">
        <f t="shared" si="32"/>
        <v/>
      </c>
      <c r="L88" s="24" t="str">
        <f t="shared" si="32"/>
        <v/>
      </c>
      <c r="M88" s="24" t="str">
        <f t="shared" si="32"/>
        <v/>
      </c>
      <c r="N88" s="24" t="str">
        <f t="shared" si="32"/>
        <v/>
      </c>
      <c r="O88" s="24" t="str">
        <f t="shared" si="32"/>
        <v/>
      </c>
      <c r="P88" s="24" t="str">
        <f t="shared" si="32"/>
        <v/>
      </c>
      <c r="Q88" s="24" t="str">
        <f t="shared" si="32"/>
        <v/>
      </c>
      <c r="R88" s="24" t="str">
        <f t="shared" si="32"/>
        <v/>
      </c>
      <c r="S88" s="24" t="str">
        <f t="shared" si="32"/>
        <v/>
      </c>
      <c r="T88" s="24" t="str">
        <f t="shared" si="32"/>
        <v/>
      </c>
      <c r="U88" s="24" t="str">
        <f t="shared" si="33"/>
        <v/>
      </c>
      <c r="V88" s="24" t="str">
        <f t="shared" si="33"/>
        <v/>
      </c>
      <c r="W88" s="24" t="str">
        <f t="shared" si="33"/>
        <v/>
      </c>
      <c r="X88" s="24" t="str">
        <f t="shared" si="33"/>
        <v/>
      </c>
      <c r="Y88" s="24" t="str">
        <f t="shared" si="33"/>
        <v/>
      </c>
      <c r="Z88" s="24" t="str">
        <f t="shared" si="33"/>
        <v/>
      </c>
      <c r="AA88" s="24" t="str">
        <f t="shared" si="33"/>
        <v/>
      </c>
      <c r="AB88" s="24" t="str">
        <f t="shared" si="33"/>
        <v/>
      </c>
      <c r="AC88" s="24" t="str">
        <f t="shared" si="33"/>
        <v/>
      </c>
      <c r="AD88" s="24" t="str">
        <f t="shared" si="33"/>
        <v/>
      </c>
      <c r="AE88" s="24" t="str">
        <f t="shared" si="34"/>
        <v/>
      </c>
      <c r="AF88" s="24" t="str">
        <f t="shared" si="34"/>
        <v/>
      </c>
      <c r="AG88" s="24" t="str">
        <f t="shared" si="34"/>
        <v/>
      </c>
      <c r="AH88" s="24" t="str">
        <f t="shared" si="34"/>
        <v/>
      </c>
      <c r="AI88" s="24" t="str">
        <f t="shared" si="34"/>
        <v/>
      </c>
      <c r="AJ88" s="24" t="str">
        <f t="shared" si="34"/>
        <v/>
      </c>
      <c r="AK88" s="24" t="str">
        <f t="shared" si="34"/>
        <v/>
      </c>
      <c r="AL88" s="24" t="str">
        <f t="shared" si="34"/>
        <v/>
      </c>
      <c r="AM88" s="24" t="str">
        <f t="shared" si="34"/>
        <v/>
      </c>
      <c r="AN88" s="24" t="str">
        <f t="shared" si="34"/>
        <v/>
      </c>
      <c r="AO88" t="str">
        <f>IF($C88="Phase",IF($AR88=0,"",IF(COUNT(E89:INDEX(E$6:E$156,83+$AR88))=0,"",MIN(E89:INDEX(E$6:E$156,83+$AR88)))),IF($E88="","",$E88))</f>
        <v/>
      </c>
      <c r="AP88" t="str">
        <f>IF($C88="Phase",IF($AO88="","",MAX(G89:INDEX(G$6:G$156,83+$AR88))),IF($G88="","",$G88))</f>
        <v/>
      </c>
      <c r="AQ88">
        <f>IF($C88="Phase",IF($AR88=0,0,IF(SUM(F89:INDEX(F$6:F$156,83+$AR88))=0,0,SUMPRODUCT(F89:INDEX(F$6:F$156,83+$AR88),H89:INDEX(H$6:H$156,83+$AR88))/SUM(F89:INDEX(F$6:F$156,83+$AR88)))),N($H88))</f>
        <v>0</v>
      </c>
      <c r="AR88">
        <f>IF($C88&lt;&gt;"Phase",0,IFERROR(MATCH("Phase",$C89:$C$156,0)-1,67))</f>
        <v>0</v>
      </c>
      <c r="AS88" t="str">
        <f t="shared" si="28"/>
        <v/>
      </c>
    </row>
    <row r="89" spans="1:45" x14ac:dyDescent="0.3">
      <c r="A89" s="19"/>
      <c r="B89" s="19"/>
      <c r="C89" s="19"/>
      <c r="D89" s="19"/>
      <c r="E89" s="20"/>
      <c r="F89" s="19"/>
      <c r="G89" s="21" t="str">
        <f>IF($C89="Phase",$AP89,IF(OR($E89="",$F89=""),"",IF(N($F89)&lt;=0,$E89,WORKDAY.INTL($E89,$F89-1,Settings!$B$9,Holidays!$A$4:$A$103))))</f>
        <v/>
      </c>
      <c r="H89" s="22"/>
      <c r="I89" s="23" t="str">
        <f t="shared" ca="1" si="27"/>
        <v/>
      </c>
      <c r="J89" s="19"/>
      <c r="K89" s="24" t="str">
        <f t="shared" si="32"/>
        <v/>
      </c>
      <c r="L89" s="24" t="str">
        <f t="shared" si="32"/>
        <v/>
      </c>
      <c r="M89" s="24" t="str">
        <f t="shared" si="32"/>
        <v/>
      </c>
      <c r="N89" s="24" t="str">
        <f t="shared" si="32"/>
        <v/>
      </c>
      <c r="O89" s="24" t="str">
        <f t="shared" si="32"/>
        <v/>
      </c>
      <c r="P89" s="24" t="str">
        <f t="shared" si="32"/>
        <v/>
      </c>
      <c r="Q89" s="24" t="str">
        <f t="shared" si="32"/>
        <v/>
      </c>
      <c r="R89" s="24" t="str">
        <f t="shared" si="32"/>
        <v/>
      </c>
      <c r="S89" s="24" t="str">
        <f t="shared" si="32"/>
        <v/>
      </c>
      <c r="T89" s="24" t="str">
        <f t="shared" si="32"/>
        <v/>
      </c>
      <c r="U89" s="24" t="str">
        <f t="shared" si="33"/>
        <v/>
      </c>
      <c r="V89" s="24" t="str">
        <f t="shared" si="33"/>
        <v/>
      </c>
      <c r="W89" s="24" t="str">
        <f t="shared" si="33"/>
        <v/>
      </c>
      <c r="X89" s="24" t="str">
        <f t="shared" si="33"/>
        <v/>
      </c>
      <c r="Y89" s="24" t="str">
        <f t="shared" si="33"/>
        <v/>
      </c>
      <c r="Z89" s="24" t="str">
        <f t="shared" si="33"/>
        <v/>
      </c>
      <c r="AA89" s="24" t="str">
        <f t="shared" si="33"/>
        <v/>
      </c>
      <c r="AB89" s="24" t="str">
        <f t="shared" si="33"/>
        <v/>
      </c>
      <c r="AC89" s="24" t="str">
        <f t="shared" si="33"/>
        <v/>
      </c>
      <c r="AD89" s="24" t="str">
        <f t="shared" si="33"/>
        <v/>
      </c>
      <c r="AE89" s="24" t="str">
        <f t="shared" si="34"/>
        <v/>
      </c>
      <c r="AF89" s="24" t="str">
        <f t="shared" si="34"/>
        <v/>
      </c>
      <c r="AG89" s="24" t="str">
        <f t="shared" si="34"/>
        <v/>
      </c>
      <c r="AH89" s="24" t="str">
        <f t="shared" si="34"/>
        <v/>
      </c>
      <c r="AI89" s="24" t="str">
        <f t="shared" si="34"/>
        <v/>
      </c>
      <c r="AJ89" s="24" t="str">
        <f t="shared" si="34"/>
        <v/>
      </c>
      <c r="AK89" s="24" t="str">
        <f t="shared" si="34"/>
        <v/>
      </c>
      <c r="AL89" s="24" t="str">
        <f t="shared" si="34"/>
        <v/>
      </c>
      <c r="AM89" s="24" t="str">
        <f t="shared" si="34"/>
        <v/>
      </c>
      <c r="AN89" s="24" t="str">
        <f t="shared" si="34"/>
        <v/>
      </c>
      <c r="AO89" t="str">
        <f>IF($C89="Phase",IF($AR89=0,"",IF(COUNT(E90:INDEX(E$6:E$156,84+$AR89))=0,"",MIN(E90:INDEX(E$6:E$156,84+$AR89)))),IF($E89="","",$E89))</f>
        <v/>
      </c>
      <c r="AP89" t="str">
        <f>IF($C89="Phase",IF($AO89="","",MAX(G90:INDEX(G$6:G$156,84+$AR89))),IF($G89="","",$G89))</f>
        <v/>
      </c>
      <c r="AQ89">
        <f>IF($C89="Phase",IF($AR89=0,0,IF(SUM(F90:INDEX(F$6:F$156,84+$AR89))=0,0,SUMPRODUCT(F90:INDEX(F$6:F$156,84+$AR89),H90:INDEX(H$6:H$156,84+$AR89))/SUM(F90:INDEX(F$6:F$156,84+$AR89)))),N($H89))</f>
        <v>0</v>
      </c>
      <c r="AR89">
        <f>IF($C89&lt;&gt;"Phase",0,IFERROR(MATCH("Phase",$C90:$C$156,0)-1,66))</f>
        <v>0</v>
      </c>
      <c r="AS89" t="str">
        <f t="shared" si="28"/>
        <v/>
      </c>
    </row>
    <row r="90" spans="1:45" x14ac:dyDescent="0.3">
      <c r="A90" s="19"/>
      <c r="B90" s="19"/>
      <c r="C90" s="19"/>
      <c r="D90" s="19"/>
      <c r="E90" s="20"/>
      <c r="F90" s="19"/>
      <c r="G90" s="21" t="str">
        <f>IF($C90="Phase",$AP90,IF(OR($E90="",$F90=""),"",IF(N($F90)&lt;=0,$E90,WORKDAY.INTL($E90,$F90-1,Settings!$B$9,Holidays!$A$4:$A$103))))</f>
        <v/>
      </c>
      <c r="H90" s="22"/>
      <c r="I90" s="23" t="str">
        <f t="shared" ca="1" si="27"/>
        <v/>
      </c>
      <c r="J90" s="19"/>
      <c r="K90" s="24" t="str">
        <f t="shared" si="32"/>
        <v/>
      </c>
      <c r="L90" s="24" t="str">
        <f t="shared" si="32"/>
        <v/>
      </c>
      <c r="M90" s="24" t="str">
        <f t="shared" si="32"/>
        <v/>
      </c>
      <c r="N90" s="24" t="str">
        <f t="shared" si="32"/>
        <v/>
      </c>
      <c r="O90" s="24" t="str">
        <f t="shared" si="32"/>
        <v/>
      </c>
      <c r="P90" s="24" t="str">
        <f t="shared" si="32"/>
        <v/>
      </c>
      <c r="Q90" s="24" t="str">
        <f t="shared" si="32"/>
        <v/>
      </c>
      <c r="R90" s="24" t="str">
        <f t="shared" si="32"/>
        <v/>
      </c>
      <c r="S90" s="24" t="str">
        <f t="shared" si="32"/>
        <v/>
      </c>
      <c r="T90" s="24" t="str">
        <f t="shared" si="32"/>
        <v/>
      </c>
      <c r="U90" s="24" t="str">
        <f t="shared" si="33"/>
        <v/>
      </c>
      <c r="V90" s="24" t="str">
        <f t="shared" si="33"/>
        <v/>
      </c>
      <c r="W90" s="24" t="str">
        <f t="shared" si="33"/>
        <v/>
      </c>
      <c r="X90" s="24" t="str">
        <f t="shared" si="33"/>
        <v/>
      </c>
      <c r="Y90" s="24" t="str">
        <f t="shared" si="33"/>
        <v/>
      </c>
      <c r="Z90" s="24" t="str">
        <f t="shared" si="33"/>
        <v/>
      </c>
      <c r="AA90" s="24" t="str">
        <f t="shared" si="33"/>
        <v/>
      </c>
      <c r="AB90" s="24" t="str">
        <f t="shared" si="33"/>
        <v/>
      </c>
      <c r="AC90" s="24" t="str">
        <f t="shared" si="33"/>
        <v/>
      </c>
      <c r="AD90" s="24" t="str">
        <f t="shared" si="33"/>
        <v/>
      </c>
      <c r="AE90" s="24" t="str">
        <f t="shared" si="34"/>
        <v/>
      </c>
      <c r="AF90" s="24" t="str">
        <f t="shared" si="34"/>
        <v/>
      </c>
      <c r="AG90" s="24" t="str">
        <f t="shared" si="34"/>
        <v/>
      </c>
      <c r="AH90" s="24" t="str">
        <f t="shared" si="34"/>
        <v/>
      </c>
      <c r="AI90" s="24" t="str">
        <f t="shared" si="34"/>
        <v/>
      </c>
      <c r="AJ90" s="24" t="str">
        <f t="shared" si="34"/>
        <v/>
      </c>
      <c r="AK90" s="24" t="str">
        <f t="shared" si="34"/>
        <v/>
      </c>
      <c r="AL90" s="24" t="str">
        <f t="shared" si="34"/>
        <v/>
      </c>
      <c r="AM90" s="24" t="str">
        <f t="shared" si="34"/>
        <v/>
      </c>
      <c r="AN90" s="24" t="str">
        <f t="shared" si="34"/>
        <v/>
      </c>
      <c r="AO90" t="str">
        <f>IF($C90="Phase",IF($AR90=0,"",IF(COUNT(E91:INDEX(E$6:E$156,85+$AR90))=0,"",MIN(E91:INDEX(E$6:E$156,85+$AR90)))),IF($E90="","",$E90))</f>
        <v/>
      </c>
      <c r="AP90" t="str">
        <f>IF($C90="Phase",IF($AO90="","",MAX(G91:INDEX(G$6:G$156,85+$AR90))),IF($G90="","",$G90))</f>
        <v/>
      </c>
      <c r="AQ90">
        <f>IF($C90="Phase",IF($AR90=0,0,IF(SUM(F91:INDEX(F$6:F$156,85+$AR90))=0,0,SUMPRODUCT(F91:INDEX(F$6:F$156,85+$AR90),H91:INDEX(H$6:H$156,85+$AR90))/SUM(F91:INDEX(F$6:F$156,85+$AR90)))),N($H90))</f>
        <v>0</v>
      </c>
      <c r="AR90">
        <f>IF($C90&lt;&gt;"Phase",0,IFERROR(MATCH("Phase",$C91:$C$156,0)-1,65))</f>
        <v>0</v>
      </c>
      <c r="AS90" t="str">
        <f t="shared" si="28"/>
        <v/>
      </c>
    </row>
    <row r="91" spans="1:45" x14ac:dyDescent="0.3">
      <c r="A91" s="19"/>
      <c r="B91" s="19"/>
      <c r="C91" s="19"/>
      <c r="D91" s="19"/>
      <c r="E91" s="20"/>
      <c r="F91" s="19"/>
      <c r="G91" s="21" t="str">
        <f>IF($C91="Phase",$AP91,IF(OR($E91="",$F91=""),"",IF(N($F91)&lt;=0,$E91,WORKDAY.INTL($E91,$F91-1,Settings!$B$9,Holidays!$A$4:$A$103))))</f>
        <v/>
      </c>
      <c r="H91" s="22"/>
      <c r="I91" s="23" t="str">
        <f t="shared" ca="1" si="27"/>
        <v/>
      </c>
      <c r="J91" s="19"/>
      <c r="K91" s="24" t="str">
        <f t="shared" si="32"/>
        <v/>
      </c>
      <c r="L91" s="24" t="str">
        <f t="shared" si="32"/>
        <v/>
      </c>
      <c r="M91" s="24" t="str">
        <f t="shared" si="32"/>
        <v/>
      </c>
      <c r="N91" s="24" t="str">
        <f t="shared" si="32"/>
        <v/>
      </c>
      <c r="O91" s="24" t="str">
        <f t="shared" si="32"/>
        <v/>
      </c>
      <c r="P91" s="24" t="str">
        <f t="shared" si="32"/>
        <v/>
      </c>
      <c r="Q91" s="24" t="str">
        <f t="shared" si="32"/>
        <v/>
      </c>
      <c r="R91" s="24" t="str">
        <f t="shared" si="32"/>
        <v/>
      </c>
      <c r="S91" s="24" t="str">
        <f t="shared" si="32"/>
        <v/>
      </c>
      <c r="T91" s="24" t="str">
        <f t="shared" si="32"/>
        <v/>
      </c>
      <c r="U91" s="24" t="str">
        <f t="shared" si="33"/>
        <v/>
      </c>
      <c r="V91" s="24" t="str">
        <f t="shared" si="33"/>
        <v/>
      </c>
      <c r="W91" s="24" t="str">
        <f t="shared" si="33"/>
        <v/>
      </c>
      <c r="X91" s="24" t="str">
        <f t="shared" si="33"/>
        <v/>
      </c>
      <c r="Y91" s="24" t="str">
        <f t="shared" si="33"/>
        <v/>
      </c>
      <c r="Z91" s="24" t="str">
        <f t="shared" si="33"/>
        <v/>
      </c>
      <c r="AA91" s="24" t="str">
        <f t="shared" si="33"/>
        <v/>
      </c>
      <c r="AB91" s="24" t="str">
        <f t="shared" si="33"/>
        <v/>
      </c>
      <c r="AC91" s="24" t="str">
        <f t="shared" si="33"/>
        <v/>
      </c>
      <c r="AD91" s="24" t="str">
        <f t="shared" si="33"/>
        <v/>
      </c>
      <c r="AE91" s="24" t="str">
        <f t="shared" si="34"/>
        <v/>
      </c>
      <c r="AF91" s="24" t="str">
        <f t="shared" si="34"/>
        <v/>
      </c>
      <c r="AG91" s="24" t="str">
        <f t="shared" si="34"/>
        <v/>
      </c>
      <c r="AH91" s="24" t="str">
        <f t="shared" si="34"/>
        <v/>
      </c>
      <c r="AI91" s="24" t="str">
        <f t="shared" si="34"/>
        <v/>
      </c>
      <c r="AJ91" s="24" t="str">
        <f t="shared" si="34"/>
        <v/>
      </c>
      <c r="AK91" s="24" t="str">
        <f t="shared" si="34"/>
        <v/>
      </c>
      <c r="AL91" s="24" t="str">
        <f t="shared" si="34"/>
        <v/>
      </c>
      <c r="AM91" s="24" t="str">
        <f t="shared" si="34"/>
        <v/>
      </c>
      <c r="AN91" s="24" t="str">
        <f t="shared" si="34"/>
        <v/>
      </c>
      <c r="AO91" t="str">
        <f>IF($C91="Phase",IF($AR91=0,"",IF(COUNT(E92:INDEX(E$6:E$156,86+$AR91))=0,"",MIN(E92:INDEX(E$6:E$156,86+$AR91)))),IF($E91="","",$E91))</f>
        <v/>
      </c>
      <c r="AP91" t="str">
        <f>IF($C91="Phase",IF($AO91="","",MAX(G92:INDEX(G$6:G$156,86+$AR91))),IF($G91="","",$G91))</f>
        <v/>
      </c>
      <c r="AQ91">
        <f>IF($C91="Phase",IF($AR91=0,0,IF(SUM(F92:INDEX(F$6:F$156,86+$AR91))=0,0,SUMPRODUCT(F92:INDEX(F$6:F$156,86+$AR91),H92:INDEX(H$6:H$156,86+$AR91))/SUM(F92:INDEX(F$6:F$156,86+$AR91)))),N($H91))</f>
        <v>0</v>
      </c>
      <c r="AR91">
        <f>IF($C91&lt;&gt;"Phase",0,IFERROR(MATCH("Phase",$C92:$C$156,0)-1,64))</f>
        <v>0</v>
      </c>
      <c r="AS91" t="str">
        <f t="shared" si="28"/>
        <v/>
      </c>
    </row>
    <row r="92" spans="1:45" x14ac:dyDescent="0.3">
      <c r="A92" s="19"/>
      <c r="B92" s="19"/>
      <c r="C92" s="19"/>
      <c r="D92" s="19"/>
      <c r="E92" s="20"/>
      <c r="F92" s="19"/>
      <c r="G92" s="21" t="str">
        <f>IF($C92="Phase",$AP92,IF(OR($E92="",$F92=""),"",IF(N($F92)&lt;=0,$E92,WORKDAY.INTL($E92,$F92-1,Settings!$B$9,Holidays!$A$4:$A$103))))</f>
        <v/>
      </c>
      <c r="H92" s="22"/>
      <c r="I92" s="23" t="str">
        <f t="shared" ca="1" si="27"/>
        <v/>
      </c>
      <c r="J92" s="19"/>
      <c r="K92" s="24" t="str">
        <f t="shared" si="32"/>
        <v/>
      </c>
      <c r="L92" s="24" t="str">
        <f t="shared" si="32"/>
        <v/>
      </c>
      <c r="M92" s="24" t="str">
        <f t="shared" si="32"/>
        <v/>
      </c>
      <c r="N92" s="24" t="str">
        <f t="shared" si="32"/>
        <v/>
      </c>
      <c r="O92" s="24" t="str">
        <f t="shared" si="32"/>
        <v/>
      </c>
      <c r="P92" s="24" t="str">
        <f t="shared" si="32"/>
        <v/>
      </c>
      <c r="Q92" s="24" t="str">
        <f t="shared" si="32"/>
        <v/>
      </c>
      <c r="R92" s="24" t="str">
        <f t="shared" si="32"/>
        <v/>
      </c>
      <c r="S92" s="24" t="str">
        <f t="shared" si="32"/>
        <v/>
      </c>
      <c r="T92" s="24" t="str">
        <f t="shared" si="32"/>
        <v/>
      </c>
      <c r="U92" s="24" t="str">
        <f t="shared" si="33"/>
        <v/>
      </c>
      <c r="V92" s="24" t="str">
        <f t="shared" si="33"/>
        <v/>
      </c>
      <c r="W92" s="24" t="str">
        <f t="shared" si="33"/>
        <v/>
      </c>
      <c r="X92" s="24" t="str">
        <f t="shared" si="33"/>
        <v/>
      </c>
      <c r="Y92" s="24" t="str">
        <f t="shared" si="33"/>
        <v/>
      </c>
      <c r="Z92" s="24" t="str">
        <f t="shared" si="33"/>
        <v/>
      </c>
      <c r="AA92" s="24" t="str">
        <f t="shared" si="33"/>
        <v/>
      </c>
      <c r="AB92" s="24" t="str">
        <f t="shared" si="33"/>
        <v/>
      </c>
      <c r="AC92" s="24" t="str">
        <f t="shared" si="33"/>
        <v/>
      </c>
      <c r="AD92" s="24" t="str">
        <f t="shared" si="33"/>
        <v/>
      </c>
      <c r="AE92" s="24" t="str">
        <f t="shared" si="34"/>
        <v/>
      </c>
      <c r="AF92" s="24" t="str">
        <f t="shared" si="34"/>
        <v/>
      </c>
      <c r="AG92" s="24" t="str">
        <f t="shared" si="34"/>
        <v/>
      </c>
      <c r="AH92" s="24" t="str">
        <f t="shared" si="34"/>
        <v/>
      </c>
      <c r="AI92" s="24" t="str">
        <f t="shared" si="34"/>
        <v/>
      </c>
      <c r="AJ92" s="24" t="str">
        <f t="shared" si="34"/>
        <v/>
      </c>
      <c r="AK92" s="24" t="str">
        <f t="shared" si="34"/>
        <v/>
      </c>
      <c r="AL92" s="24" t="str">
        <f t="shared" si="34"/>
        <v/>
      </c>
      <c r="AM92" s="24" t="str">
        <f t="shared" si="34"/>
        <v/>
      </c>
      <c r="AN92" s="24" t="str">
        <f t="shared" si="34"/>
        <v/>
      </c>
      <c r="AO92" t="str">
        <f>IF($C92="Phase",IF($AR92=0,"",IF(COUNT(E93:INDEX(E$6:E$156,87+$AR92))=0,"",MIN(E93:INDEX(E$6:E$156,87+$AR92)))),IF($E92="","",$E92))</f>
        <v/>
      </c>
      <c r="AP92" t="str">
        <f>IF($C92="Phase",IF($AO92="","",MAX(G93:INDEX(G$6:G$156,87+$AR92))),IF($G92="","",$G92))</f>
        <v/>
      </c>
      <c r="AQ92">
        <f>IF($C92="Phase",IF($AR92=0,0,IF(SUM(F93:INDEX(F$6:F$156,87+$AR92))=0,0,SUMPRODUCT(F93:INDEX(F$6:F$156,87+$AR92),H93:INDEX(H$6:H$156,87+$AR92))/SUM(F93:INDEX(F$6:F$156,87+$AR92)))),N($H92))</f>
        <v>0</v>
      </c>
      <c r="AR92">
        <f>IF($C92&lt;&gt;"Phase",0,IFERROR(MATCH("Phase",$C93:$C$156,0)-1,63))</f>
        <v>0</v>
      </c>
      <c r="AS92" t="str">
        <f t="shared" si="28"/>
        <v/>
      </c>
    </row>
    <row r="93" spans="1:45" x14ac:dyDescent="0.3">
      <c r="A93" s="19"/>
      <c r="B93" s="19"/>
      <c r="C93" s="19"/>
      <c r="D93" s="19"/>
      <c r="E93" s="20"/>
      <c r="F93" s="19"/>
      <c r="G93" s="21" t="str">
        <f>IF($C93="Phase",$AP93,IF(OR($E93="",$F93=""),"",IF(N($F93)&lt;=0,$E93,WORKDAY.INTL($E93,$F93-1,Settings!$B$9,Holidays!$A$4:$A$103))))</f>
        <v/>
      </c>
      <c r="H93" s="22"/>
      <c r="I93" s="23" t="str">
        <f t="shared" ca="1" si="27"/>
        <v/>
      </c>
      <c r="J93" s="19"/>
      <c r="K93" s="24" t="str">
        <f t="shared" si="32"/>
        <v/>
      </c>
      <c r="L93" s="24" t="str">
        <f t="shared" si="32"/>
        <v/>
      </c>
      <c r="M93" s="24" t="str">
        <f t="shared" si="32"/>
        <v/>
      </c>
      <c r="N93" s="24" t="str">
        <f t="shared" si="32"/>
        <v/>
      </c>
      <c r="O93" s="24" t="str">
        <f t="shared" si="32"/>
        <v/>
      </c>
      <c r="P93" s="24" t="str">
        <f t="shared" si="32"/>
        <v/>
      </c>
      <c r="Q93" s="24" t="str">
        <f t="shared" si="32"/>
        <v/>
      </c>
      <c r="R93" s="24" t="str">
        <f t="shared" si="32"/>
        <v/>
      </c>
      <c r="S93" s="24" t="str">
        <f t="shared" si="32"/>
        <v/>
      </c>
      <c r="T93" s="24" t="str">
        <f t="shared" si="32"/>
        <v/>
      </c>
      <c r="U93" s="24" t="str">
        <f t="shared" si="33"/>
        <v/>
      </c>
      <c r="V93" s="24" t="str">
        <f t="shared" si="33"/>
        <v/>
      </c>
      <c r="W93" s="24" t="str">
        <f t="shared" si="33"/>
        <v/>
      </c>
      <c r="X93" s="24" t="str">
        <f t="shared" si="33"/>
        <v/>
      </c>
      <c r="Y93" s="24" t="str">
        <f t="shared" si="33"/>
        <v/>
      </c>
      <c r="Z93" s="24" t="str">
        <f t="shared" si="33"/>
        <v/>
      </c>
      <c r="AA93" s="24" t="str">
        <f t="shared" si="33"/>
        <v/>
      </c>
      <c r="AB93" s="24" t="str">
        <f t="shared" si="33"/>
        <v/>
      </c>
      <c r="AC93" s="24" t="str">
        <f t="shared" si="33"/>
        <v/>
      </c>
      <c r="AD93" s="24" t="str">
        <f t="shared" si="33"/>
        <v/>
      </c>
      <c r="AE93" s="24" t="str">
        <f t="shared" si="34"/>
        <v/>
      </c>
      <c r="AF93" s="24" t="str">
        <f t="shared" si="34"/>
        <v/>
      </c>
      <c r="AG93" s="24" t="str">
        <f t="shared" si="34"/>
        <v/>
      </c>
      <c r="AH93" s="24" t="str">
        <f t="shared" si="34"/>
        <v/>
      </c>
      <c r="AI93" s="24" t="str">
        <f t="shared" si="34"/>
        <v/>
      </c>
      <c r="AJ93" s="24" t="str">
        <f t="shared" si="34"/>
        <v/>
      </c>
      <c r="AK93" s="24" t="str">
        <f t="shared" si="34"/>
        <v/>
      </c>
      <c r="AL93" s="24" t="str">
        <f t="shared" si="34"/>
        <v/>
      </c>
      <c r="AM93" s="24" t="str">
        <f t="shared" si="34"/>
        <v/>
      </c>
      <c r="AN93" s="24" t="str">
        <f t="shared" si="34"/>
        <v/>
      </c>
      <c r="AO93" t="str">
        <f>IF($C93="Phase",IF($AR93=0,"",IF(COUNT(E94:INDEX(E$6:E$156,88+$AR93))=0,"",MIN(E94:INDEX(E$6:E$156,88+$AR93)))),IF($E93="","",$E93))</f>
        <v/>
      </c>
      <c r="AP93" t="str">
        <f>IF($C93="Phase",IF($AO93="","",MAX(G94:INDEX(G$6:G$156,88+$AR93))),IF($G93="","",$G93))</f>
        <v/>
      </c>
      <c r="AQ93">
        <f>IF($C93="Phase",IF($AR93=0,0,IF(SUM(F94:INDEX(F$6:F$156,88+$AR93))=0,0,SUMPRODUCT(F94:INDEX(F$6:F$156,88+$AR93),H94:INDEX(H$6:H$156,88+$AR93))/SUM(F94:INDEX(F$6:F$156,88+$AR93)))),N($H93))</f>
        <v>0</v>
      </c>
      <c r="AR93">
        <f>IF($C93&lt;&gt;"Phase",0,IFERROR(MATCH("Phase",$C94:$C$156,0)-1,62))</f>
        <v>0</v>
      </c>
      <c r="AS93" t="str">
        <f t="shared" si="28"/>
        <v/>
      </c>
    </row>
    <row r="94" spans="1:45" x14ac:dyDescent="0.3">
      <c r="A94" s="19"/>
      <c r="B94" s="19"/>
      <c r="C94" s="19"/>
      <c r="D94" s="19"/>
      <c r="E94" s="20"/>
      <c r="F94" s="19"/>
      <c r="G94" s="21" t="str">
        <f>IF($C94="Phase",$AP94,IF(OR($E94="",$F94=""),"",IF(N($F94)&lt;=0,$E94,WORKDAY.INTL($E94,$F94-1,Settings!$B$9,Holidays!$A$4:$A$103))))</f>
        <v/>
      </c>
      <c r="H94" s="22"/>
      <c r="I94" s="23" t="str">
        <f t="shared" ca="1" si="27"/>
        <v/>
      </c>
      <c r="J94" s="19"/>
      <c r="K94" s="24" t="str">
        <f t="shared" si="32"/>
        <v/>
      </c>
      <c r="L94" s="24" t="str">
        <f t="shared" si="32"/>
        <v/>
      </c>
      <c r="M94" s="24" t="str">
        <f t="shared" si="32"/>
        <v/>
      </c>
      <c r="N94" s="24" t="str">
        <f t="shared" si="32"/>
        <v/>
      </c>
      <c r="O94" s="24" t="str">
        <f t="shared" si="32"/>
        <v/>
      </c>
      <c r="P94" s="24" t="str">
        <f t="shared" si="32"/>
        <v/>
      </c>
      <c r="Q94" s="24" t="str">
        <f t="shared" si="32"/>
        <v/>
      </c>
      <c r="R94" s="24" t="str">
        <f t="shared" si="32"/>
        <v/>
      </c>
      <c r="S94" s="24" t="str">
        <f t="shared" si="32"/>
        <v/>
      </c>
      <c r="T94" s="24" t="str">
        <f t="shared" si="32"/>
        <v/>
      </c>
      <c r="U94" s="24" t="str">
        <f t="shared" si="33"/>
        <v/>
      </c>
      <c r="V94" s="24" t="str">
        <f t="shared" si="33"/>
        <v/>
      </c>
      <c r="W94" s="24" t="str">
        <f t="shared" si="33"/>
        <v/>
      </c>
      <c r="X94" s="24" t="str">
        <f t="shared" si="33"/>
        <v/>
      </c>
      <c r="Y94" s="24" t="str">
        <f t="shared" si="33"/>
        <v/>
      </c>
      <c r="Z94" s="24" t="str">
        <f t="shared" si="33"/>
        <v/>
      </c>
      <c r="AA94" s="24" t="str">
        <f t="shared" si="33"/>
        <v/>
      </c>
      <c r="AB94" s="24" t="str">
        <f t="shared" si="33"/>
        <v/>
      </c>
      <c r="AC94" s="24" t="str">
        <f t="shared" si="33"/>
        <v/>
      </c>
      <c r="AD94" s="24" t="str">
        <f t="shared" si="33"/>
        <v/>
      </c>
      <c r="AE94" s="24" t="str">
        <f t="shared" si="34"/>
        <v/>
      </c>
      <c r="AF94" s="24" t="str">
        <f t="shared" si="34"/>
        <v/>
      </c>
      <c r="AG94" s="24" t="str">
        <f t="shared" si="34"/>
        <v/>
      </c>
      <c r="AH94" s="24" t="str">
        <f t="shared" si="34"/>
        <v/>
      </c>
      <c r="AI94" s="24" t="str">
        <f t="shared" si="34"/>
        <v/>
      </c>
      <c r="AJ94" s="24" t="str">
        <f t="shared" si="34"/>
        <v/>
      </c>
      <c r="AK94" s="24" t="str">
        <f t="shared" si="34"/>
        <v/>
      </c>
      <c r="AL94" s="24" t="str">
        <f t="shared" si="34"/>
        <v/>
      </c>
      <c r="AM94" s="24" t="str">
        <f t="shared" si="34"/>
        <v/>
      </c>
      <c r="AN94" s="24" t="str">
        <f t="shared" si="34"/>
        <v/>
      </c>
      <c r="AO94" t="str">
        <f>IF($C94="Phase",IF($AR94=0,"",IF(COUNT(E95:INDEX(E$6:E$156,89+$AR94))=0,"",MIN(E95:INDEX(E$6:E$156,89+$AR94)))),IF($E94="","",$E94))</f>
        <v/>
      </c>
      <c r="AP94" t="str">
        <f>IF($C94="Phase",IF($AO94="","",MAX(G95:INDEX(G$6:G$156,89+$AR94))),IF($G94="","",$G94))</f>
        <v/>
      </c>
      <c r="AQ94">
        <f>IF($C94="Phase",IF($AR94=0,0,IF(SUM(F95:INDEX(F$6:F$156,89+$AR94))=0,0,SUMPRODUCT(F95:INDEX(F$6:F$156,89+$AR94),H95:INDEX(H$6:H$156,89+$AR94))/SUM(F95:INDEX(F$6:F$156,89+$AR94)))),N($H94))</f>
        <v>0</v>
      </c>
      <c r="AR94">
        <f>IF($C94&lt;&gt;"Phase",0,IFERROR(MATCH("Phase",$C95:$C$156,0)-1,61))</f>
        <v>0</v>
      </c>
      <c r="AS94" t="str">
        <f t="shared" si="28"/>
        <v/>
      </c>
    </row>
    <row r="95" spans="1:45" x14ac:dyDescent="0.3">
      <c r="A95" s="19"/>
      <c r="B95" s="19"/>
      <c r="C95" s="19"/>
      <c r="D95" s="19"/>
      <c r="E95" s="20"/>
      <c r="F95" s="19"/>
      <c r="G95" s="21" t="str">
        <f>IF($C95="Phase",$AP95,IF(OR($E95="",$F95=""),"",IF(N($F95)&lt;=0,$E95,WORKDAY.INTL($E95,$F95-1,Settings!$B$9,Holidays!$A$4:$A$103))))</f>
        <v/>
      </c>
      <c r="H95" s="22"/>
      <c r="I95" s="23" t="str">
        <f t="shared" ca="1" si="27"/>
        <v/>
      </c>
      <c r="J95" s="19"/>
      <c r="K95" s="24" t="str">
        <f t="shared" si="32"/>
        <v/>
      </c>
      <c r="L95" s="24" t="str">
        <f t="shared" si="32"/>
        <v/>
      </c>
      <c r="M95" s="24" t="str">
        <f t="shared" si="32"/>
        <v/>
      </c>
      <c r="N95" s="24" t="str">
        <f t="shared" si="32"/>
        <v/>
      </c>
      <c r="O95" s="24" t="str">
        <f t="shared" si="32"/>
        <v/>
      </c>
      <c r="P95" s="24" t="str">
        <f t="shared" si="32"/>
        <v/>
      </c>
      <c r="Q95" s="24" t="str">
        <f t="shared" si="32"/>
        <v/>
      </c>
      <c r="R95" s="24" t="str">
        <f t="shared" si="32"/>
        <v/>
      </c>
      <c r="S95" s="24" t="str">
        <f t="shared" si="32"/>
        <v/>
      </c>
      <c r="T95" s="24" t="str">
        <f t="shared" si="32"/>
        <v/>
      </c>
      <c r="U95" s="24" t="str">
        <f t="shared" si="33"/>
        <v/>
      </c>
      <c r="V95" s="24" t="str">
        <f t="shared" si="33"/>
        <v/>
      </c>
      <c r="W95" s="24" t="str">
        <f t="shared" si="33"/>
        <v/>
      </c>
      <c r="X95" s="24" t="str">
        <f t="shared" si="33"/>
        <v/>
      </c>
      <c r="Y95" s="24" t="str">
        <f t="shared" si="33"/>
        <v/>
      </c>
      <c r="Z95" s="24" t="str">
        <f t="shared" si="33"/>
        <v/>
      </c>
      <c r="AA95" s="24" t="str">
        <f t="shared" si="33"/>
        <v/>
      </c>
      <c r="AB95" s="24" t="str">
        <f t="shared" si="33"/>
        <v/>
      </c>
      <c r="AC95" s="24" t="str">
        <f t="shared" si="33"/>
        <v/>
      </c>
      <c r="AD95" s="24" t="str">
        <f t="shared" si="33"/>
        <v/>
      </c>
      <c r="AE95" s="24" t="str">
        <f t="shared" si="34"/>
        <v/>
      </c>
      <c r="AF95" s="24" t="str">
        <f t="shared" si="34"/>
        <v/>
      </c>
      <c r="AG95" s="24" t="str">
        <f t="shared" si="34"/>
        <v/>
      </c>
      <c r="AH95" s="24" t="str">
        <f t="shared" si="34"/>
        <v/>
      </c>
      <c r="AI95" s="24" t="str">
        <f t="shared" si="34"/>
        <v/>
      </c>
      <c r="AJ95" s="24" t="str">
        <f t="shared" si="34"/>
        <v/>
      </c>
      <c r="AK95" s="24" t="str">
        <f t="shared" si="34"/>
        <v/>
      </c>
      <c r="AL95" s="24" t="str">
        <f t="shared" si="34"/>
        <v/>
      </c>
      <c r="AM95" s="24" t="str">
        <f t="shared" si="34"/>
        <v/>
      </c>
      <c r="AN95" s="24" t="str">
        <f t="shared" si="34"/>
        <v/>
      </c>
      <c r="AO95" t="str">
        <f>IF($C95="Phase",IF($AR95=0,"",IF(COUNT(E96:INDEX(E$6:E$156,90+$AR95))=0,"",MIN(E96:INDEX(E$6:E$156,90+$AR95)))),IF($E95="","",$E95))</f>
        <v/>
      </c>
      <c r="AP95" t="str">
        <f>IF($C95="Phase",IF($AO95="","",MAX(G96:INDEX(G$6:G$156,90+$AR95))),IF($G95="","",$G95))</f>
        <v/>
      </c>
      <c r="AQ95">
        <f>IF($C95="Phase",IF($AR95=0,0,IF(SUM(F96:INDEX(F$6:F$156,90+$AR95))=0,0,SUMPRODUCT(F96:INDEX(F$6:F$156,90+$AR95),H96:INDEX(H$6:H$156,90+$AR95))/SUM(F96:INDEX(F$6:F$156,90+$AR95)))),N($H95))</f>
        <v>0</v>
      </c>
      <c r="AR95">
        <f>IF($C95&lt;&gt;"Phase",0,IFERROR(MATCH("Phase",$C96:$C$156,0)-1,60))</f>
        <v>0</v>
      </c>
      <c r="AS95" t="str">
        <f t="shared" si="28"/>
        <v/>
      </c>
    </row>
    <row r="96" spans="1:45" x14ac:dyDescent="0.3">
      <c r="A96" s="19"/>
      <c r="B96" s="19"/>
      <c r="C96" s="19"/>
      <c r="D96" s="19"/>
      <c r="E96" s="20"/>
      <c r="F96" s="19"/>
      <c r="G96" s="21" t="str">
        <f>IF($C96="Phase",$AP96,IF(OR($E96="",$F96=""),"",IF(N($F96)&lt;=0,$E96,WORKDAY.INTL($E96,$F96-1,Settings!$B$9,Holidays!$A$4:$A$103))))</f>
        <v/>
      </c>
      <c r="H96" s="22"/>
      <c r="I96" s="23" t="str">
        <f t="shared" ca="1" si="27"/>
        <v/>
      </c>
      <c r="J96" s="19"/>
      <c r="K96" s="24" t="str">
        <f t="shared" ref="K96:T105" si="35">IF(AND($C96="Milestone",$AP96&lt;&gt;""),IF(AND($AP96&gt;=K$5,$AP96&lt;K$5+$AO$3),"◆",""),"")</f>
        <v/>
      </c>
      <c r="L96" s="24" t="str">
        <f t="shared" si="35"/>
        <v/>
      </c>
      <c r="M96" s="24" t="str">
        <f t="shared" si="35"/>
        <v/>
      </c>
      <c r="N96" s="24" t="str">
        <f t="shared" si="35"/>
        <v/>
      </c>
      <c r="O96" s="24" t="str">
        <f t="shared" si="35"/>
        <v/>
      </c>
      <c r="P96" s="24" t="str">
        <f t="shared" si="35"/>
        <v/>
      </c>
      <c r="Q96" s="24" t="str">
        <f t="shared" si="35"/>
        <v/>
      </c>
      <c r="R96" s="24" t="str">
        <f t="shared" si="35"/>
        <v/>
      </c>
      <c r="S96" s="24" t="str">
        <f t="shared" si="35"/>
        <v/>
      </c>
      <c r="T96" s="24" t="str">
        <f t="shared" si="35"/>
        <v/>
      </c>
      <c r="U96" s="24" t="str">
        <f t="shared" ref="U96:AD105" si="36">IF(AND($C96="Milestone",$AP96&lt;&gt;""),IF(AND($AP96&gt;=U$5,$AP96&lt;U$5+$AO$3),"◆",""),"")</f>
        <v/>
      </c>
      <c r="V96" s="24" t="str">
        <f t="shared" si="36"/>
        <v/>
      </c>
      <c r="W96" s="24" t="str">
        <f t="shared" si="36"/>
        <v/>
      </c>
      <c r="X96" s="24" t="str">
        <f t="shared" si="36"/>
        <v/>
      </c>
      <c r="Y96" s="24" t="str">
        <f t="shared" si="36"/>
        <v/>
      </c>
      <c r="Z96" s="24" t="str">
        <f t="shared" si="36"/>
        <v/>
      </c>
      <c r="AA96" s="24" t="str">
        <f t="shared" si="36"/>
        <v/>
      </c>
      <c r="AB96" s="24" t="str">
        <f t="shared" si="36"/>
        <v/>
      </c>
      <c r="AC96" s="24" t="str">
        <f t="shared" si="36"/>
        <v/>
      </c>
      <c r="AD96" s="24" t="str">
        <f t="shared" si="36"/>
        <v/>
      </c>
      <c r="AE96" s="24" t="str">
        <f t="shared" ref="AE96:AN105" si="37">IF(AND($C96="Milestone",$AP96&lt;&gt;""),IF(AND($AP96&gt;=AE$5,$AP96&lt;AE$5+$AO$3),"◆",""),"")</f>
        <v/>
      </c>
      <c r="AF96" s="24" t="str">
        <f t="shared" si="37"/>
        <v/>
      </c>
      <c r="AG96" s="24" t="str">
        <f t="shared" si="37"/>
        <v/>
      </c>
      <c r="AH96" s="24" t="str">
        <f t="shared" si="37"/>
        <v/>
      </c>
      <c r="AI96" s="24" t="str">
        <f t="shared" si="37"/>
        <v/>
      </c>
      <c r="AJ96" s="24" t="str">
        <f t="shared" si="37"/>
        <v/>
      </c>
      <c r="AK96" s="24" t="str">
        <f t="shared" si="37"/>
        <v/>
      </c>
      <c r="AL96" s="24" t="str">
        <f t="shared" si="37"/>
        <v/>
      </c>
      <c r="AM96" s="24" t="str">
        <f t="shared" si="37"/>
        <v/>
      </c>
      <c r="AN96" s="24" t="str">
        <f t="shared" si="37"/>
        <v/>
      </c>
      <c r="AO96" t="str">
        <f>IF($C96="Phase",IF($AR96=0,"",IF(COUNT(E97:INDEX(E$6:E$156,91+$AR96))=0,"",MIN(E97:INDEX(E$6:E$156,91+$AR96)))),IF($E96="","",$E96))</f>
        <v/>
      </c>
      <c r="AP96" t="str">
        <f>IF($C96="Phase",IF($AO96="","",MAX(G97:INDEX(G$6:G$156,91+$AR96))),IF($G96="","",$G96))</f>
        <v/>
      </c>
      <c r="AQ96">
        <f>IF($C96="Phase",IF($AR96=0,0,IF(SUM(F97:INDEX(F$6:F$156,91+$AR96))=0,0,SUMPRODUCT(F97:INDEX(F$6:F$156,91+$AR96),H97:INDEX(H$6:H$156,91+$AR96))/SUM(F97:INDEX(F$6:F$156,91+$AR96)))),N($H96))</f>
        <v>0</v>
      </c>
      <c r="AR96">
        <f>IF($C96&lt;&gt;"Phase",0,IFERROR(MATCH("Phase",$C97:$C$156,0)-1,59))</f>
        <v>0</v>
      </c>
      <c r="AS96" t="str">
        <f t="shared" si="28"/>
        <v/>
      </c>
    </row>
    <row r="97" spans="1:45" x14ac:dyDescent="0.3">
      <c r="A97" s="19"/>
      <c r="B97" s="19"/>
      <c r="C97" s="19"/>
      <c r="D97" s="19"/>
      <c r="E97" s="20"/>
      <c r="F97" s="19"/>
      <c r="G97" s="21" t="str">
        <f>IF($C97="Phase",$AP97,IF(OR($E97="",$F97=""),"",IF(N($F97)&lt;=0,$E97,WORKDAY.INTL($E97,$F97-1,Settings!$B$9,Holidays!$A$4:$A$103))))</f>
        <v/>
      </c>
      <c r="H97" s="22"/>
      <c r="I97" s="23" t="str">
        <f t="shared" ca="1" si="27"/>
        <v/>
      </c>
      <c r="J97" s="19"/>
      <c r="K97" s="24" t="str">
        <f t="shared" si="35"/>
        <v/>
      </c>
      <c r="L97" s="24" t="str">
        <f t="shared" si="35"/>
        <v/>
      </c>
      <c r="M97" s="24" t="str">
        <f t="shared" si="35"/>
        <v/>
      </c>
      <c r="N97" s="24" t="str">
        <f t="shared" si="35"/>
        <v/>
      </c>
      <c r="O97" s="24" t="str">
        <f t="shared" si="35"/>
        <v/>
      </c>
      <c r="P97" s="24" t="str">
        <f t="shared" si="35"/>
        <v/>
      </c>
      <c r="Q97" s="24" t="str">
        <f t="shared" si="35"/>
        <v/>
      </c>
      <c r="R97" s="24" t="str">
        <f t="shared" si="35"/>
        <v/>
      </c>
      <c r="S97" s="24" t="str">
        <f t="shared" si="35"/>
        <v/>
      </c>
      <c r="T97" s="24" t="str">
        <f t="shared" si="35"/>
        <v/>
      </c>
      <c r="U97" s="24" t="str">
        <f t="shared" si="36"/>
        <v/>
      </c>
      <c r="V97" s="24" t="str">
        <f t="shared" si="36"/>
        <v/>
      </c>
      <c r="W97" s="24" t="str">
        <f t="shared" si="36"/>
        <v/>
      </c>
      <c r="X97" s="24" t="str">
        <f t="shared" si="36"/>
        <v/>
      </c>
      <c r="Y97" s="24" t="str">
        <f t="shared" si="36"/>
        <v/>
      </c>
      <c r="Z97" s="24" t="str">
        <f t="shared" si="36"/>
        <v/>
      </c>
      <c r="AA97" s="24" t="str">
        <f t="shared" si="36"/>
        <v/>
      </c>
      <c r="AB97" s="24" t="str">
        <f t="shared" si="36"/>
        <v/>
      </c>
      <c r="AC97" s="24" t="str">
        <f t="shared" si="36"/>
        <v/>
      </c>
      <c r="AD97" s="24" t="str">
        <f t="shared" si="36"/>
        <v/>
      </c>
      <c r="AE97" s="24" t="str">
        <f t="shared" si="37"/>
        <v/>
      </c>
      <c r="AF97" s="24" t="str">
        <f t="shared" si="37"/>
        <v/>
      </c>
      <c r="AG97" s="24" t="str">
        <f t="shared" si="37"/>
        <v/>
      </c>
      <c r="AH97" s="24" t="str">
        <f t="shared" si="37"/>
        <v/>
      </c>
      <c r="AI97" s="24" t="str">
        <f t="shared" si="37"/>
        <v/>
      </c>
      <c r="AJ97" s="24" t="str">
        <f t="shared" si="37"/>
        <v/>
      </c>
      <c r="AK97" s="24" t="str">
        <f t="shared" si="37"/>
        <v/>
      </c>
      <c r="AL97" s="24" t="str">
        <f t="shared" si="37"/>
        <v/>
      </c>
      <c r="AM97" s="24" t="str">
        <f t="shared" si="37"/>
        <v/>
      </c>
      <c r="AN97" s="24" t="str">
        <f t="shared" si="37"/>
        <v/>
      </c>
      <c r="AO97" t="str">
        <f>IF($C97="Phase",IF($AR97=0,"",IF(COUNT(E98:INDEX(E$6:E$156,92+$AR97))=0,"",MIN(E98:INDEX(E$6:E$156,92+$AR97)))),IF($E97="","",$E97))</f>
        <v/>
      </c>
      <c r="AP97" t="str">
        <f>IF($C97="Phase",IF($AO97="","",MAX(G98:INDEX(G$6:G$156,92+$AR97))),IF($G97="","",$G97))</f>
        <v/>
      </c>
      <c r="AQ97">
        <f>IF($C97="Phase",IF($AR97=0,0,IF(SUM(F98:INDEX(F$6:F$156,92+$AR97))=0,0,SUMPRODUCT(F98:INDEX(F$6:F$156,92+$AR97),H98:INDEX(H$6:H$156,92+$AR97))/SUM(F98:INDEX(F$6:F$156,92+$AR97)))),N($H97))</f>
        <v>0</v>
      </c>
      <c r="AR97">
        <f>IF($C97&lt;&gt;"Phase",0,IFERROR(MATCH("Phase",$C98:$C$156,0)-1,58))</f>
        <v>0</v>
      </c>
      <c r="AS97" t="str">
        <f t="shared" si="28"/>
        <v/>
      </c>
    </row>
    <row r="98" spans="1:45" x14ac:dyDescent="0.3">
      <c r="A98" s="19"/>
      <c r="B98" s="19"/>
      <c r="C98" s="19"/>
      <c r="D98" s="19"/>
      <c r="E98" s="20"/>
      <c r="F98" s="19"/>
      <c r="G98" s="21" t="str">
        <f>IF($C98="Phase",$AP98,IF(OR($E98="",$F98=""),"",IF(N($F98)&lt;=0,$E98,WORKDAY.INTL($E98,$F98-1,Settings!$B$9,Holidays!$A$4:$A$103))))</f>
        <v/>
      </c>
      <c r="H98" s="22"/>
      <c r="I98" s="23" t="str">
        <f t="shared" ca="1" si="27"/>
        <v/>
      </c>
      <c r="J98" s="19"/>
      <c r="K98" s="24" t="str">
        <f t="shared" si="35"/>
        <v/>
      </c>
      <c r="L98" s="24" t="str">
        <f t="shared" si="35"/>
        <v/>
      </c>
      <c r="M98" s="24" t="str">
        <f t="shared" si="35"/>
        <v/>
      </c>
      <c r="N98" s="24" t="str">
        <f t="shared" si="35"/>
        <v/>
      </c>
      <c r="O98" s="24" t="str">
        <f t="shared" si="35"/>
        <v/>
      </c>
      <c r="P98" s="24" t="str">
        <f t="shared" si="35"/>
        <v/>
      </c>
      <c r="Q98" s="24" t="str">
        <f t="shared" si="35"/>
        <v/>
      </c>
      <c r="R98" s="24" t="str">
        <f t="shared" si="35"/>
        <v/>
      </c>
      <c r="S98" s="24" t="str">
        <f t="shared" si="35"/>
        <v/>
      </c>
      <c r="T98" s="24" t="str">
        <f t="shared" si="35"/>
        <v/>
      </c>
      <c r="U98" s="24" t="str">
        <f t="shared" si="36"/>
        <v/>
      </c>
      <c r="V98" s="24" t="str">
        <f t="shared" si="36"/>
        <v/>
      </c>
      <c r="W98" s="24" t="str">
        <f t="shared" si="36"/>
        <v/>
      </c>
      <c r="X98" s="24" t="str">
        <f t="shared" si="36"/>
        <v/>
      </c>
      <c r="Y98" s="24" t="str">
        <f t="shared" si="36"/>
        <v/>
      </c>
      <c r="Z98" s="24" t="str">
        <f t="shared" si="36"/>
        <v/>
      </c>
      <c r="AA98" s="24" t="str">
        <f t="shared" si="36"/>
        <v/>
      </c>
      <c r="AB98" s="24" t="str">
        <f t="shared" si="36"/>
        <v/>
      </c>
      <c r="AC98" s="24" t="str">
        <f t="shared" si="36"/>
        <v/>
      </c>
      <c r="AD98" s="24" t="str">
        <f t="shared" si="36"/>
        <v/>
      </c>
      <c r="AE98" s="24" t="str">
        <f t="shared" si="37"/>
        <v/>
      </c>
      <c r="AF98" s="24" t="str">
        <f t="shared" si="37"/>
        <v/>
      </c>
      <c r="AG98" s="24" t="str">
        <f t="shared" si="37"/>
        <v/>
      </c>
      <c r="AH98" s="24" t="str">
        <f t="shared" si="37"/>
        <v/>
      </c>
      <c r="AI98" s="24" t="str">
        <f t="shared" si="37"/>
        <v/>
      </c>
      <c r="AJ98" s="24" t="str">
        <f t="shared" si="37"/>
        <v/>
      </c>
      <c r="AK98" s="24" t="str">
        <f t="shared" si="37"/>
        <v/>
      </c>
      <c r="AL98" s="24" t="str">
        <f t="shared" si="37"/>
        <v/>
      </c>
      <c r="AM98" s="24" t="str">
        <f t="shared" si="37"/>
        <v/>
      </c>
      <c r="AN98" s="24" t="str">
        <f t="shared" si="37"/>
        <v/>
      </c>
      <c r="AO98" t="str">
        <f>IF($C98="Phase",IF($AR98=0,"",IF(COUNT(E99:INDEX(E$6:E$156,93+$AR98))=0,"",MIN(E99:INDEX(E$6:E$156,93+$AR98)))),IF($E98="","",$E98))</f>
        <v/>
      </c>
      <c r="AP98" t="str">
        <f>IF($C98="Phase",IF($AO98="","",MAX(G99:INDEX(G$6:G$156,93+$AR98))),IF($G98="","",$G98))</f>
        <v/>
      </c>
      <c r="AQ98">
        <f>IF($C98="Phase",IF($AR98=0,0,IF(SUM(F99:INDEX(F$6:F$156,93+$AR98))=0,0,SUMPRODUCT(F99:INDEX(F$6:F$156,93+$AR98),H99:INDEX(H$6:H$156,93+$AR98))/SUM(F99:INDEX(F$6:F$156,93+$AR98)))),N($H98))</f>
        <v>0</v>
      </c>
      <c r="AR98">
        <f>IF($C98&lt;&gt;"Phase",0,IFERROR(MATCH("Phase",$C99:$C$156,0)-1,57))</f>
        <v>0</v>
      </c>
      <c r="AS98" t="str">
        <f t="shared" si="28"/>
        <v/>
      </c>
    </row>
    <row r="99" spans="1:45" x14ac:dyDescent="0.3">
      <c r="A99" s="19"/>
      <c r="B99" s="19"/>
      <c r="C99" s="19"/>
      <c r="D99" s="19"/>
      <c r="E99" s="20"/>
      <c r="F99" s="19"/>
      <c r="G99" s="21" t="str">
        <f>IF($C99="Phase",$AP99,IF(OR($E99="",$F99=""),"",IF(N($F99)&lt;=0,$E99,WORKDAY.INTL($E99,$F99-1,Settings!$B$9,Holidays!$A$4:$A$103))))</f>
        <v/>
      </c>
      <c r="H99" s="22"/>
      <c r="I99" s="23" t="str">
        <f t="shared" ca="1" si="27"/>
        <v/>
      </c>
      <c r="J99" s="19"/>
      <c r="K99" s="24" t="str">
        <f t="shared" si="35"/>
        <v/>
      </c>
      <c r="L99" s="24" t="str">
        <f t="shared" si="35"/>
        <v/>
      </c>
      <c r="M99" s="24" t="str">
        <f t="shared" si="35"/>
        <v/>
      </c>
      <c r="N99" s="24" t="str">
        <f t="shared" si="35"/>
        <v/>
      </c>
      <c r="O99" s="24" t="str">
        <f t="shared" si="35"/>
        <v/>
      </c>
      <c r="P99" s="24" t="str">
        <f t="shared" si="35"/>
        <v/>
      </c>
      <c r="Q99" s="24" t="str">
        <f t="shared" si="35"/>
        <v/>
      </c>
      <c r="R99" s="24" t="str">
        <f t="shared" si="35"/>
        <v/>
      </c>
      <c r="S99" s="24" t="str">
        <f t="shared" si="35"/>
        <v/>
      </c>
      <c r="T99" s="24" t="str">
        <f t="shared" si="35"/>
        <v/>
      </c>
      <c r="U99" s="24" t="str">
        <f t="shared" si="36"/>
        <v/>
      </c>
      <c r="V99" s="24" t="str">
        <f t="shared" si="36"/>
        <v/>
      </c>
      <c r="W99" s="24" t="str">
        <f t="shared" si="36"/>
        <v/>
      </c>
      <c r="X99" s="24" t="str">
        <f t="shared" si="36"/>
        <v/>
      </c>
      <c r="Y99" s="24" t="str">
        <f t="shared" si="36"/>
        <v/>
      </c>
      <c r="Z99" s="24" t="str">
        <f t="shared" si="36"/>
        <v/>
      </c>
      <c r="AA99" s="24" t="str">
        <f t="shared" si="36"/>
        <v/>
      </c>
      <c r="AB99" s="24" t="str">
        <f t="shared" si="36"/>
        <v/>
      </c>
      <c r="AC99" s="24" t="str">
        <f t="shared" si="36"/>
        <v/>
      </c>
      <c r="AD99" s="24" t="str">
        <f t="shared" si="36"/>
        <v/>
      </c>
      <c r="AE99" s="24" t="str">
        <f t="shared" si="37"/>
        <v/>
      </c>
      <c r="AF99" s="24" t="str">
        <f t="shared" si="37"/>
        <v/>
      </c>
      <c r="AG99" s="24" t="str">
        <f t="shared" si="37"/>
        <v/>
      </c>
      <c r="AH99" s="24" t="str">
        <f t="shared" si="37"/>
        <v/>
      </c>
      <c r="AI99" s="24" t="str">
        <f t="shared" si="37"/>
        <v/>
      </c>
      <c r="AJ99" s="24" t="str">
        <f t="shared" si="37"/>
        <v/>
      </c>
      <c r="AK99" s="24" t="str">
        <f t="shared" si="37"/>
        <v/>
      </c>
      <c r="AL99" s="24" t="str">
        <f t="shared" si="37"/>
        <v/>
      </c>
      <c r="AM99" s="24" t="str">
        <f t="shared" si="37"/>
        <v/>
      </c>
      <c r="AN99" s="24" t="str">
        <f t="shared" si="37"/>
        <v/>
      </c>
      <c r="AO99" t="str">
        <f>IF($C99="Phase",IF($AR99=0,"",IF(COUNT(E100:INDEX(E$6:E$156,94+$AR99))=0,"",MIN(E100:INDEX(E$6:E$156,94+$AR99)))),IF($E99="","",$E99))</f>
        <v/>
      </c>
      <c r="AP99" t="str">
        <f>IF($C99="Phase",IF($AO99="","",MAX(G100:INDEX(G$6:G$156,94+$AR99))),IF($G99="","",$G99))</f>
        <v/>
      </c>
      <c r="AQ99">
        <f>IF($C99="Phase",IF($AR99=0,0,IF(SUM(F100:INDEX(F$6:F$156,94+$AR99))=0,0,SUMPRODUCT(F100:INDEX(F$6:F$156,94+$AR99),H100:INDEX(H$6:H$156,94+$AR99))/SUM(F100:INDEX(F$6:F$156,94+$AR99)))),N($H99))</f>
        <v>0</v>
      </c>
      <c r="AR99">
        <f>IF($C99&lt;&gt;"Phase",0,IFERROR(MATCH("Phase",$C100:$C$156,0)-1,56))</f>
        <v>0</v>
      </c>
      <c r="AS99" t="str">
        <f t="shared" si="28"/>
        <v/>
      </c>
    </row>
    <row r="100" spans="1:45" x14ac:dyDescent="0.3">
      <c r="A100" s="19"/>
      <c r="B100" s="19"/>
      <c r="C100" s="19"/>
      <c r="D100" s="19"/>
      <c r="E100" s="20"/>
      <c r="F100" s="19"/>
      <c r="G100" s="21" t="str">
        <f>IF($C100="Phase",$AP100,IF(OR($E100="",$F100=""),"",IF(N($F100)&lt;=0,$E100,WORKDAY.INTL($E100,$F100-1,Settings!$B$9,Holidays!$A$4:$A$103))))</f>
        <v/>
      </c>
      <c r="H100" s="22"/>
      <c r="I100" s="23" t="str">
        <f t="shared" ca="1" si="27"/>
        <v/>
      </c>
      <c r="J100" s="19"/>
      <c r="K100" s="24" t="str">
        <f t="shared" si="35"/>
        <v/>
      </c>
      <c r="L100" s="24" t="str">
        <f t="shared" si="35"/>
        <v/>
      </c>
      <c r="M100" s="24" t="str">
        <f t="shared" si="35"/>
        <v/>
      </c>
      <c r="N100" s="24" t="str">
        <f t="shared" si="35"/>
        <v/>
      </c>
      <c r="O100" s="24" t="str">
        <f t="shared" si="35"/>
        <v/>
      </c>
      <c r="P100" s="24" t="str">
        <f t="shared" si="35"/>
        <v/>
      </c>
      <c r="Q100" s="24" t="str">
        <f t="shared" si="35"/>
        <v/>
      </c>
      <c r="R100" s="24" t="str">
        <f t="shared" si="35"/>
        <v/>
      </c>
      <c r="S100" s="24" t="str">
        <f t="shared" si="35"/>
        <v/>
      </c>
      <c r="T100" s="24" t="str">
        <f t="shared" si="35"/>
        <v/>
      </c>
      <c r="U100" s="24" t="str">
        <f t="shared" si="36"/>
        <v/>
      </c>
      <c r="V100" s="24" t="str">
        <f t="shared" si="36"/>
        <v/>
      </c>
      <c r="W100" s="24" t="str">
        <f t="shared" si="36"/>
        <v/>
      </c>
      <c r="X100" s="24" t="str">
        <f t="shared" si="36"/>
        <v/>
      </c>
      <c r="Y100" s="24" t="str">
        <f t="shared" si="36"/>
        <v/>
      </c>
      <c r="Z100" s="24" t="str">
        <f t="shared" si="36"/>
        <v/>
      </c>
      <c r="AA100" s="24" t="str">
        <f t="shared" si="36"/>
        <v/>
      </c>
      <c r="AB100" s="24" t="str">
        <f t="shared" si="36"/>
        <v/>
      </c>
      <c r="AC100" s="24" t="str">
        <f t="shared" si="36"/>
        <v/>
      </c>
      <c r="AD100" s="24" t="str">
        <f t="shared" si="36"/>
        <v/>
      </c>
      <c r="AE100" s="24" t="str">
        <f t="shared" si="37"/>
        <v/>
      </c>
      <c r="AF100" s="24" t="str">
        <f t="shared" si="37"/>
        <v/>
      </c>
      <c r="AG100" s="24" t="str">
        <f t="shared" si="37"/>
        <v/>
      </c>
      <c r="AH100" s="24" t="str">
        <f t="shared" si="37"/>
        <v/>
      </c>
      <c r="AI100" s="24" t="str">
        <f t="shared" si="37"/>
        <v/>
      </c>
      <c r="AJ100" s="24" t="str">
        <f t="shared" si="37"/>
        <v/>
      </c>
      <c r="AK100" s="24" t="str">
        <f t="shared" si="37"/>
        <v/>
      </c>
      <c r="AL100" s="24" t="str">
        <f t="shared" si="37"/>
        <v/>
      </c>
      <c r="AM100" s="24" t="str">
        <f t="shared" si="37"/>
        <v/>
      </c>
      <c r="AN100" s="24" t="str">
        <f t="shared" si="37"/>
        <v/>
      </c>
      <c r="AO100" t="str">
        <f>IF($C100="Phase",IF($AR100=0,"",IF(COUNT(E101:INDEX(E$6:E$156,95+$AR100))=0,"",MIN(E101:INDEX(E$6:E$156,95+$AR100)))),IF($E100="","",$E100))</f>
        <v/>
      </c>
      <c r="AP100" t="str">
        <f>IF($C100="Phase",IF($AO100="","",MAX(G101:INDEX(G$6:G$156,95+$AR100))),IF($G100="","",$G100))</f>
        <v/>
      </c>
      <c r="AQ100">
        <f>IF($C100="Phase",IF($AR100=0,0,IF(SUM(F101:INDEX(F$6:F$156,95+$AR100))=0,0,SUMPRODUCT(F101:INDEX(F$6:F$156,95+$AR100),H101:INDEX(H$6:H$156,95+$AR100))/SUM(F101:INDEX(F$6:F$156,95+$AR100)))),N($H100))</f>
        <v>0</v>
      </c>
      <c r="AR100">
        <f>IF($C100&lt;&gt;"Phase",0,IFERROR(MATCH("Phase",$C101:$C$156,0)-1,55))</f>
        <v>0</v>
      </c>
      <c r="AS100" t="str">
        <f t="shared" si="28"/>
        <v/>
      </c>
    </row>
    <row r="101" spans="1:45" x14ac:dyDescent="0.3">
      <c r="A101" s="19"/>
      <c r="B101" s="19"/>
      <c r="C101" s="19"/>
      <c r="D101" s="19"/>
      <c r="E101" s="20"/>
      <c r="F101" s="19"/>
      <c r="G101" s="21" t="str">
        <f>IF($C101="Phase",$AP101,IF(OR($E101="",$F101=""),"",IF(N($F101)&lt;=0,$E101,WORKDAY.INTL($E101,$F101-1,Settings!$B$9,Holidays!$A$4:$A$103))))</f>
        <v/>
      </c>
      <c r="H101" s="22"/>
      <c r="I101" s="23" t="str">
        <f t="shared" ca="1" si="27"/>
        <v/>
      </c>
      <c r="J101" s="19"/>
      <c r="K101" s="24" t="str">
        <f t="shared" si="35"/>
        <v/>
      </c>
      <c r="L101" s="24" t="str">
        <f t="shared" si="35"/>
        <v/>
      </c>
      <c r="M101" s="24" t="str">
        <f t="shared" si="35"/>
        <v/>
      </c>
      <c r="N101" s="24" t="str">
        <f t="shared" si="35"/>
        <v/>
      </c>
      <c r="O101" s="24" t="str">
        <f t="shared" si="35"/>
        <v/>
      </c>
      <c r="P101" s="24" t="str">
        <f t="shared" si="35"/>
        <v/>
      </c>
      <c r="Q101" s="24" t="str">
        <f t="shared" si="35"/>
        <v/>
      </c>
      <c r="R101" s="24" t="str">
        <f t="shared" si="35"/>
        <v/>
      </c>
      <c r="S101" s="24" t="str">
        <f t="shared" si="35"/>
        <v/>
      </c>
      <c r="T101" s="24" t="str">
        <f t="shared" si="35"/>
        <v/>
      </c>
      <c r="U101" s="24" t="str">
        <f t="shared" si="36"/>
        <v/>
      </c>
      <c r="V101" s="24" t="str">
        <f t="shared" si="36"/>
        <v/>
      </c>
      <c r="W101" s="24" t="str">
        <f t="shared" si="36"/>
        <v/>
      </c>
      <c r="X101" s="24" t="str">
        <f t="shared" si="36"/>
        <v/>
      </c>
      <c r="Y101" s="24" t="str">
        <f t="shared" si="36"/>
        <v/>
      </c>
      <c r="Z101" s="24" t="str">
        <f t="shared" si="36"/>
        <v/>
      </c>
      <c r="AA101" s="24" t="str">
        <f t="shared" si="36"/>
        <v/>
      </c>
      <c r="AB101" s="24" t="str">
        <f t="shared" si="36"/>
        <v/>
      </c>
      <c r="AC101" s="24" t="str">
        <f t="shared" si="36"/>
        <v/>
      </c>
      <c r="AD101" s="24" t="str">
        <f t="shared" si="36"/>
        <v/>
      </c>
      <c r="AE101" s="24" t="str">
        <f t="shared" si="37"/>
        <v/>
      </c>
      <c r="AF101" s="24" t="str">
        <f t="shared" si="37"/>
        <v/>
      </c>
      <c r="AG101" s="24" t="str">
        <f t="shared" si="37"/>
        <v/>
      </c>
      <c r="AH101" s="24" t="str">
        <f t="shared" si="37"/>
        <v/>
      </c>
      <c r="AI101" s="24" t="str">
        <f t="shared" si="37"/>
        <v/>
      </c>
      <c r="AJ101" s="24" t="str">
        <f t="shared" si="37"/>
        <v/>
      </c>
      <c r="AK101" s="24" t="str">
        <f t="shared" si="37"/>
        <v/>
      </c>
      <c r="AL101" s="24" t="str">
        <f t="shared" si="37"/>
        <v/>
      </c>
      <c r="AM101" s="24" t="str">
        <f t="shared" si="37"/>
        <v/>
      </c>
      <c r="AN101" s="24" t="str">
        <f t="shared" si="37"/>
        <v/>
      </c>
      <c r="AO101" t="str">
        <f>IF($C101="Phase",IF($AR101=0,"",IF(COUNT(E102:INDEX(E$6:E$156,96+$AR101))=0,"",MIN(E102:INDEX(E$6:E$156,96+$AR101)))),IF($E101="","",$E101))</f>
        <v/>
      </c>
      <c r="AP101" t="str">
        <f>IF($C101="Phase",IF($AO101="","",MAX(G102:INDEX(G$6:G$156,96+$AR101))),IF($G101="","",$G101))</f>
        <v/>
      </c>
      <c r="AQ101">
        <f>IF($C101="Phase",IF($AR101=0,0,IF(SUM(F102:INDEX(F$6:F$156,96+$AR101))=0,0,SUMPRODUCT(F102:INDEX(F$6:F$156,96+$AR101),H102:INDEX(H$6:H$156,96+$AR101))/SUM(F102:INDEX(F$6:F$156,96+$AR101)))),N($H101))</f>
        <v>0</v>
      </c>
      <c r="AR101">
        <f>IF($C101&lt;&gt;"Phase",0,IFERROR(MATCH("Phase",$C102:$C$156,0)-1,54))</f>
        <v>0</v>
      </c>
      <c r="AS101" t="str">
        <f t="shared" si="28"/>
        <v/>
      </c>
    </row>
    <row r="102" spans="1:45" x14ac:dyDescent="0.3">
      <c r="A102" s="19"/>
      <c r="B102" s="19"/>
      <c r="C102" s="19"/>
      <c r="D102" s="19"/>
      <c r="E102" s="20"/>
      <c r="F102" s="19"/>
      <c r="G102" s="21" t="str">
        <f>IF($C102="Phase",$AP102,IF(OR($E102="",$F102=""),"",IF(N($F102)&lt;=0,$E102,WORKDAY.INTL($E102,$F102-1,Settings!$B$9,Holidays!$A$4:$A$103))))</f>
        <v/>
      </c>
      <c r="H102" s="22"/>
      <c r="I102" s="23" t="str">
        <f t="shared" ref="I102:I133" ca="1" si="38">IF($B102="","",IF($AP102="","Not planned",IF(N($AQ102)&gt;=1,"Done",IF($AP102&lt;TODAY(),"Late",IF($AO102&lt;=TODAY(),"In progress","Not started")))))</f>
        <v/>
      </c>
      <c r="J102" s="19"/>
      <c r="K102" s="24" t="str">
        <f t="shared" si="35"/>
        <v/>
      </c>
      <c r="L102" s="24" t="str">
        <f t="shared" si="35"/>
        <v/>
      </c>
      <c r="M102" s="24" t="str">
        <f t="shared" si="35"/>
        <v/>
      </c>
      <c r="N102" s="24" t="str">
        <f t="shared" si="35"/>
        <v/>
      </c>
      <c r="O102" s="24" t="str">
        <f t="shared" si="35"/>
        <v/>
      </c>
      <c r="P102" s="24" t="str">
        <f t="shared" si="35"/>
        <v/>
      </c>
      <c r="Q102" s="24" t="str">
        <f t="shared" si="35"/>
        <v/>
      </c>
      <c r="R102" s="24" t="str">
        <f t="shared" si="35"/>
        <v/>
      </c>
      <c r="S102" s="24" t="str">
        <f t="shared" si="35"/>
        <v/>
      </c>
      <c r="T102" s="24" t="str">
        <f t="shared" si="35"/>
        <v/>
      </c>
      <c r="U102" s="24" t="str">
        <f t="shared" si="36"/>
        <v/>
      </c>
      <c r="V102" s="24" t="str">
        <f t="shared" si="36"/>
        <v/>
      </c>
      <c r="W102" s="24" t="str">
        <f t="shared" si="36"/>
        <v/>
      </c>
      <c r="X102" s="24" t="str">
        <f t="shared" si="36"/>
        <v/>
      </c>
      <c r="Y102" s="24" t="str">
        <f t="shared" si="36"/>
        <v/>
      </c>
      <c r="Z102" s="24" t="str">
        <f t="shared" si="36"/>
        <v/>
      </c>
      <c r="AA102" s="24" t="str">
        <f t="shared" si="36"/>
        <v/>
      </c>
      <c r="AB102" s="24" t="str">
        <f t="shared" si="36"/>
        <v/>
      </c>
      <c r="AC102" s="24" t="str">
        <f t="shared" si="36"/>
        <v/>
      </c>
      <c r="AD102" s="24" t="str">
        <f t="shared" si="36"/>
        <v/>
      </c>
      <c r="AE102" s="24" t="str">
        <f t="shared" si="37"/>
        <v/>
      </c>
      <c r="AF102" s="24" t="str">
        <f t="shared" si="37"/>
        <v/>
      </c>
      <c r="AG102" s="24" t="str">
        <f t="shared" si="37"/>
        <v/>
      </c>
      <c r="AH102" s="24" t="str">
        <f t="shared" si="37"/>
        <v/>
      </c>
      <c r="AI102" s="24" t="str">
        <f t="shared" si="37"/>
        <v/>
      </c>
      <c r="AJ102" s="24" t="str">
        <f t="shared" si="37"/>
        <v/>
      </c>
      <c r="AK102" s="24" t="str">
        <f t="shared" si="37"/>
        <v/>
      </c>
      <c r="AL102" s="24" t="str">
        <f t="shared" si="37"/>
        <v/>
      </c>
      <c r="AM102" s="24" t="str">
        <f t="shared" si="37"/>
        <v/>
      </c>
      <c r="AN102" s="24" t="str">
        <f t="shared" si="37"/>
        <v/>
      </c>
      <c r="AO102" t="str">
        <f>IF($C102="Phase",IF($AR102=0,"",IF(COUNT(E103:INDEX(E$6:E$156,97+$AR102))=0,"",MIN(E103:INDEX(E$6:E$156,97+$AR102)))),IF($E102="","",$E102))</f>
        <v/>
      </c>
      <c r="AP102" t="str">
        <f>IF($C102="Phase",IF($AO102="","",MAX(G103:INDEX(G$6:G$156,97+$AR102))),IF($G102="","",$G102))</f>
        <v/>
      </c>
      <c r="AQ102">
        <f>IF($C102="Phase",IF($AR102=0,0,IF(SUM(F103:INDEX(F$6:F$156,97+$AR102))=0,0,SUMPRODUCT(F103:INDEX(F$6:F$156,97+$AR102),H103:INDEX(H$6:H$156,97+$AR102))/SUM(F103:INDEX(F$6:F$156,97+$AR102)))),N($H102))</f>
        <v>0</v>
      </c>
      <c r="AR102">
        <f>IF($C102&lt;&gt;"Phase",0,IFERROR(MATCH("Phase",$C103:$C$156,0)-1,53))</f>
        <v>0</v>
      </c>
      <c r="AS102" t="str">
        <f t="shared" ref="AS102:AS133" si="39">IF(AND($C102="Milestone",$AP102&lt;&gt;"",N($H102)&lt;1),$AP102,"")</f>
        <v/>
      </c>
    </row>
    <row r="103" spans="1:45" x14ac:dyDescent="0.3">
      <c r="A103" s="19"/>
      <c r="B103" s="19"/>
      <c r="C103" s="19"/>
      <c r="D103" s="19"/>
      <c r="E103" s="20"/>
      <c r="F103" s="19"/>
      <c r="G103" s="21" t="str">
        <f>IF($C103="Phase",$AP103,IF(OR($E103="",$F103=""),"",IF(N($F103)&lt;=0,$E103,WORKDAY.INTL($E103,$F103-1,Settings!$B$9,Holidays!$A$4:$A$103))))</f>
        <v/>
      </c>
      <c r="H103" s="22"/>
      <c r="I103" s="23" t="str">
        <f t="shared" ca="1" si="38"/>
        <v/>
      </c>
      <c r="J103" s="19"/>
      <c r="K103" s="24" t="str">
        <f t="shared" si="35"/>
        <v/>
      </c>
      <c r="L103" s="24" t="str">
        <f t="shared" si="35"/>
        <v/>
      </c>
      <c r="M103" s="24" t="str">
        <f t="shared" si="35"/>
        <v/>
      </c>
      <c r="N103" s="24" t="str">
        <f t="shared" si="35"/>
        <v/>
      </c>
      <c r="O103" s="24" t="str">
        <f t="shared" si="35"/>
        <v/>
      </c>
      <c r="P103" s="24" t="str">
        <f t="shared" si="35"/>
        <v/>
      </c>
      <c r="Q103" s="24" t="str">
        <f t="shared" si="35"/>
        <v/>
      </c>
      <c r="R103" s="24" t="str">
        <f t="shared" si="35"/>
        <v/>
      </c>
      <c r="S103" s="24" t="str">
        <f t="shared" si="35"/>
        <v/>
      </c>
      <c r="T103" s="24" t="str">
        <f t="shared" si="35"/>
        <v/>
      </c>
      <c r="U103" s="24" t="str">
        <f t="shared" si="36"/>
        <v/>
      </c>
      <c r="V103" s="24" t="str">
        <f t="shared" si="36"/>
        <v/>
      </c>
      <c r="W103" s="24" t="str">
        <f t="shared" si="36"/>
        <v/>
      </c>
      <c r="X103" s="24" t="str">
        <f t="shared" si="36"/>
        <v/>
      </c>
      <c r="Y103" s="24" t="str">
        <f t="shared" si="36"/>
        <v/>
      </c>
      <c r="Z103" s="24" t="str">
        <f t="shared" si="36"/>
        <v/>
      </c>
      <c r="AA103" s="24" t="str">
        <f t="shared" si="36"/>
        <v/>
      </c>
      <c r="AB103" s="24" t="str">
        <f t="shared" si="36"/>
        <v/>
      </c>
      <c r="AC103" s="24" t="str">
        <f t="shared" si="36"/>
        <v/>
      </c>
      <c r="AD103" s="24" t="str">
        <f t="shared" si="36"/>
        <v/>
      </c>
      <c r="AE103" s="24" t="str">
        <f t="shared" si="37"/>
        <v/>
      </c>
      <c r="AF103" s="24" t="str">
        <f t="shared" si="37"/>
        <v/>
      </c>
      <c r="AG103" s="24" t="str">
        <f t="shared" si="37"/>
        <v/>
      </c>
      <c r="AH103" s="24" t="str">
        <f t="shared" si="37"/>
        <v/>
      </c>
      <c r="AI103" s="24" t="str">
        <f t="shared" si="37"/>
        <v/>
      </c>
      <c r="AJ103" s="24" t="str">
        <f t="shared" si="37"/>
        <v/>
      </c>
      <c r="AK103" s="24" t="str">
        <f t="shared" si="37"/>
        <v/>
      </c>
      <c r="AL103" s="24" t="str">
        <f t="shared" si="37"/>
        <v/>
      </c>
      <c r="AM103" s="24" t="str">
        <f t="shared" si="37"/>
        <v/>
      </c>
      <c r="AN103" s="24" t="str">
        <f t="shared" si="37"/>
        <v/>
      </c>
      <c r="AO103" t="str">
        <f>IF($C103="Phase",IF($AR103=0,"",IF(COUNT(E104:INDEX(E$6:E$156,98+$AR103))=0,"",MIN(E104:INDEX(E$6:E$156,98+$AR103)))),IF($E103="","",$E103))</f>
        <v/>
      </c>
      <c r="AP103" t="str">
        <f>IF($C103="Phase",IF($AO103="","",MAX(G104:INDEX(G$6:G$156,98+$AR103))),IF($G103="","",$G103))</f>
        <v/>
      </c>
      <c r="AQ103">
        <f>IF($C103="Phase",IF($AR103=0,0,IF(SUM(F104:INDEX(F$6:F$156,98+$AR103))=0,0,SUMPRODUCT(F104:INDEX(F$6:F$156,98+$AR103),H104:INDEX(H$6:H$156,98+$AR103))/SUM(F104:INDEX(F$6:F$156,98+$AR103)))),N($H103))</f>
        <v>0</v>
      </c>
      <c r="AR103">
        <f>IF($C103&lt;&gt;"Phase",0,IFERROR(MATCH("Phase",$C104:$C$156,0)-1,52))</f>
        <v>0</v>
      </c>
      <c r="AS103" t="str">
        <f t="shared" si="39"/>
        <v/>
      </c>
    </row>
    <row r="104" spans="1:45" x14ac:dyDescent="0.3">
      <c r="A104" s="19"/>
      <c r="B104" s="19"/>
      <c r="C104" s="19"/>
      <c r="D104" s="19"/>
      <c r="E104" s="20"/>
      <c r="F104" s="19"/>
      <c r="G104" s="21" t="str">
        <f>IF($C104="Phase",$AP104,IF(OR($E104="",$F104=""),"",IF(N($F104)&lt;=0,$E104,WORKDAY.INTL($E104,$F104-1,Settings!$B$9,Holidays!$A$4:$A$103))))</f>
        <v/>
      </c>
      <c r="H104" s="22"/>
      <c r="I104" s="23" t="str">
        <f t="shared" ca="1" si="38"/>
        <v/>
      </c>
      <c r="J104" s="19"/>
      <c r="K104" s="24" t="str">
        <f t="shared" si="35"/>
        <v/>
      </c>
      <c r="L104" s="24" t="str">
        <f t="shared" si="35"/>
        <v/>
      </c>
      <c r="M104" s="24" t="str">
        <f t="shared" si="35"/>
        <v/>
      </c>
      <c r="N104" s="24" t="str">
        <f t="shared" si="35"/>
        <v/>
      </c>
      <c r="O104" s="24" t="str">
        <f t="shared" si="35"/>
        <v/>
      </c>
      <c r="P104" s="24" t="str">
        <f t="shared" si="35"/>
        <v/>
      </c>
      <c r="Q104" s="24" t="str">
        <f t="shared" si="35"/>
        <v/>
      </c>
      <c r="R104" s="24" t="str">
        <f t="shared" si="35"/>
        <v/>
      </c>
      <c r="S104" s="24" t="str">
        <f t="shared" si="35"/>
        <v/>
      </c>
      <c r="T104" s="24" t="str">
        <f t="shared" si="35"/>
        <v/>
      </c>
      <c r="U104" s="24" t="str">
        <f t="shared" si="36"/>
        <v/>
      </c>
      <c r="V104" s="24" t="str">
        <f t="shared" si="36"/>
        <v/>
      </c>
      <c r="W104" s="24" t="str">
        <f t="shared" si="36"/>
        <v/>
      </c>
      <c r="X104" s="24" t="str">
        <f t="shared" si="36"/>
        <v/>
      </c>
      <c r="Y104" s="24" t="str">
        <f t="shared" si="36"/>
        <v/>
      </c>
      <c r="Z104" s="24" t="str">
        <f t="shared" si="36"/>
        <v/>
      </c>
      <c r="AA104" s="24" t="str">
        <f t="shared" si="36"/>
        <v/>
      </c>
      <c r="AB104" s="24" t="str">
        <f t="shared" si="36"/>
        <v/>
      </c>
      <c r="AC104" s="24" t="str">
        <f t="shared" si="36"/>
        <v/>
      </c>
      <c r="AD104" s="24" t="str">
        <f t="shared" si="36"/>
        <v/>
      </c>
      <c r="AE104" s="24" t="str">
        <f t="shared" si="37"/>
        <v/>
      </c>
      <c r="AF104" s="24" t="str">
        <f t="shared" si="37"/>
        <v/>
      </c>
      <c r="AG104" s="24" t="str">
        <f t="shared" si="37"/>
        <v/>
      </c>
      <c r="AH104" s="24" t="str">
        <f t="shared" si="37"/>
        <v/>
      </c>
      <c r="AI104" s="24" t="str">
        <f t="shared" si="37"/>
        <v/>
      </c>
      <c r="AJ104" s="24" t="str">
        <f t="shared" si="37"/>
        <v/>
      </c>
      <c r="AK104" s="24" t="str">
        <f t="shared" si="37"/>
        <v/>
      </c>
      <c r="AL104" s="24" t="str">
        <f t="shared" si="37"/>
        <v/>
      </c>
      <c r="AM104" s="24" t="str">
        <f t="shared" si="37"/>
        <v/>
      </c>
      <c r="AN104" s="24" t="str">
        <f t="shared" si="37"/>
        <v/>
      </c>
      <c r="AO104" t="str">
        <f>IF($C104="Phase",IF($AR104=0,"",IF(COUNT(E105:INDEX(E$6:E$156,99+$AR104))=0,"",MIN(E105:INDEX(E$6:E$156,99+$AR104)))),IF($E104="","",$E104))</f>
        <v/>
      </c>
      <c r="AP104" t="str">
        <f>IF($C104="Phase",IF($AO104="","",MAX(G105:INDEX(G$6:G$156,99+$AR104))),IF($G104="","",$G104))</f>
        <v/>
      </c>
      <c r="AQ104">
        <f>IF($C104="Phase",IF($AR104=0,0,IF(SUM(F105:INDEX(F$6:F$156,99+$AR104))=0,0,SUMPRODUCT(F105:INDEX(F$6:F$156,99+$AR104),H105:INDEX(H$6:H$156,99+$AR104))/SUM(F105:INDEX(F$6:F$156,99+$AR104)))),N($H104))</f>
        <v>0</v>
      </c>
      <c r="AR104">
        <f>IF($C104&lt;&gt;"Phase",0,IFERROR(MATCH("Phase",$C105:$C$156,0)-1,51))</f>
        <v>0</v>
      </c>
      <c r="AS104" t="str">
        <f t="shared" si="39"/>
        <v/>
      </c>
    </row>
    <row r="105" spans="1:45" x14ac:dyDescent="0.3">
      <c r="A105" s="19"/>
      <c r="B105" s="19"/>
      <c r="C105" s="19"/>
      <c r="D105" s="19"/>
      <c r="E105" s="20"/>
      <c r="F105" s="19"/>
      <c r="G105" s="21" t="str">
        <f>IF($C105="Phase",$AP105,IF(OR($E105="",$F105=""),"",IF(N($F105)&lt;=0,$E105,WORKDAY.INTL($E105,$F105-1,Settings!$B$9,Holidays!$A$4:$A$103))))</f>
        <v/>
      </c>
      <c r="H105" s="22"/>
      <c r="I105" s="23" t="str">
        <f t="shared" ca="1" si="38"/>
        <v/>
      </c>
      <c r="J105" s="19"/>
      <c r="K105" s="24" t="str">
        <f t="shared" si="35"/>
        <v/>
      </c>
      <c r="L105" s="24" t="str">
        <f t="shared" si="35"/>
        <v/>
      </c>
      <c r="M105" s="24" t="str">
        <f t="shared" si="35"/>
        <v/>
      </c>
      <c r="N105" s="24" t="str">
        <f t="shared" si="35"/>
        <v/>
      </c>
      <c r="O105" s="24" t="str">
        <f t="shared" si="35"/>
        <v/>
      </c>
      <c r="P105" s="24" t="str">
        <f t="shared" si="35"/>
        <v/>
      </c>
      <c r="Q105" s="24" t="str">
        <f t="shared" si="35"/>
        <v/>
      </c>
      <c r="R105" s="24" t="str">
        <f t="shared" si="35"/>
        <v/>
      </c>
      <c r="S105" s="24" t="str">
        <f t="shared" si="35"/>
        <v/>
      </c>
      <c r="T105" s="24" t="str">
        <f t="shared" si="35"/>
        <v/>
      </c>
      <c r="U105" s="24" t="str">
        <f t="shared" si="36"/>
        <v/>
      </c>
      <c r="V105" s="24" t="str">
        <f t="shared" si="36"/>
        <v/>
      </c>
      <c r="W105" s="24" t="str">
        <f t="shared" si="36"/>
        <v/>
      </c>
      <c r="X105" s="24" t="str">
        <f t="shared" si="36"/>
        <v/>
      </c>
      <c r="Y105" s="24" t="str">
        <f t="shared" si="36"/>
        <v/>
      </c>
      <c r="Z105" s="24" t="str">
        <f t="shared" si="36"/>
        <v/>
      </c>
      <c r="AA105" s="24" t="str">
        <f t="shared" si="36"/>
        <v/>
      </c>
      <c r="AB105" s="24" t="str">
        <f t="shared" si="36"/>
        <v/>
      </c>
      <c r="AC105" s="24" t="str">
        <f t="shared" si="36"/>
        <v/>
      </c>
      <c r="AD105" s="24" t="str">
        <f t="shared" si="36"/>
        <v/>
      </c>
      <c r="AE105" s="24" t="str">
        <f t="shared" si="37"/>
        <v/>
      </c>
      <c r="AF105" s="24" t="str">
        <f t="shared" si="37"/>
        <v/>
      </c>
      <c r="AG105" s="24" t="str">
        <f t="shared" si="37"/>
        <v/>
      </c>
      <c r="AH105" s="24" t="str">
        <f t="shared" si="37"/>
        <v/>
      </c>
      <c r="AI105" s="24" t="str">
        <f t="shared" si="37"/>
        <v/>
      </c>
      <c r="AJ105" s="24" t="str">
        <f t="shared" si="37"/>
        <v/>
      </c>
      <c r="AK105" s="24" t="str">
        <f t="shared" si="37"/>
        <v/>
      </c>
      <c r="AL105" s="24" t="str">
        <f t="shared" si="37"/>
        <v/>
      </c>
      <c r="AM105" s="24" t="str">
        <f t="shared" si="37"/>
        <v/>
      </c>
      <c r="AN105" s="24" t="str">
        <f t="shared" si="37"/>
        <v/>
      </c>
      <c r="AO105" t="str">
        <f>IF($C105="Phase",IF($AR105=0,"",IF(COUNT(E106:INDEX(E$6:E$156,100+$AR105))=0,"",MIN(E106:INDEX(E$6:E$156,100+$AR105)))),IF($E105="","",$E105))</f>
        <v/>
      </c>
      <c r="AP105" t="str">
        <f>IF($C105="Phase",IF($AO105="","",MAX(G106:INDEX(G$6:G$156,100+$AR105))),IF($G105="","",$G105))</f>
        <v/>
      </c>
      <c r="AQ105">
        <f>IF($C105="Phase",IF($AR105=0,0,IF(SUM(F106:INDEX(F$6:F$156,100+$AR105))=0,0,SUMPRODUCT(F106:INDEX(F$6:F$156,100+$AR105),H106:INDEX(H$6:H$156,100+$AR105))/SUM(F106:INDEX(F$6:F$156,100+$AR105)))),N($H105))</f>
        <v>0</v>
      </c>
      <c r="AR105">
        <f>IF($C105&lt;&gt;"Phase",0,IFERROR(MATCH("Phase",$C106:$C$156,0)-1,50))</f>
        <v>0</v>
      </c>
      <c r="AS105" t="str">
        <f t="shared" si="39"/>
        <v/>
      </c>
    </row>
    <row r="106" spans="1:45" x14ac:dyDescent="0.3">
      <c r="A106" s="19"/>
      <c r="B106" s="19"/>
      <c r="C106" s="19"/>
      <c r="D106" s="19"/>
      <c r="E106" s="20"/>
      <c r="F106" s="19"/>
      <c r="G106" s="21" t="str">
        <f>IF($C106="Phase",$AP106,IF(OR($E106="",$F106=""),"",IF(N($F106)&lt;=0,$E106,WORKDAY.INTL($E106,$F106-1,Settings!$B$9,Holidays!$A$4:$A$103))))</f>
        <v/>
      </c>
      <c r="H106" s="22"/>
      <c r="I106" s="23" t="str">
        <f t="shared" ca="1" si="38"/>
        <v/>
      </c>
      <c r="J106" s="19"/>
      <c r="K106" s="24" t="str">
        <f t="shared" ref="K106:T115" si="40">IF(AND($C106="Milestone",$AP106&lt;&gt;""),IF(AND($AP106&gt;=K$5,$AP106&lt;K$5+$AO$3),"◆",""),"")</f>
        <v/>
      </c>
      <c r="L106" s="24" t="str">
        <f t="shared" si="40"/>
        <v/>
      </c>
      <c r="M106" s="24" t="str">
        <f t="shared" si="40"/>
        <v/>
      </c>
      <c r="N106" s="24" t="str">
        <f t="shared" si="40"/>
        <v/>
      </c>
      <c r="O106" s="24" t="str">
        <f t="shared" si="40"/>
        <v/>
      </c>
      <c r="P106" s="24" t="str">
        <f t="shared" si="40"/>
        <v/>
      </c>
      <c r="Q106" s="24" t="str">
        <f t="shared" si="40"/>
        <v/>
      </c>
      <c r="R106" s="24" t="str">
        <f t="shared" si="40"/>
        <v/>
      </c>
      <c r="S106" s="24" t="str">
        <f t="shared" si="40"/>
        <v/>
      </c>
      <c r="T106" s="24" t="str">
        <f t="shared" si="40"/>
        <v/>
      </c>
      <c r="U106" s="24" t="str">
        <f t="shared" ref="U106:AD115" si="41">IF(AND($C106="Milestone",$AP106&lt;&gt;""),IF(AND($AP106&gt;=U$5,$AP106&lt;U$5+$AO$3),"◆",""),"")</f>
        <v/>
      </c>
      <c r="V106" s="24" t="str">
        <f t="shared" si="41"/>
        <v/>
      </c>
      <c r="W106" s="24" t="str">
        <f t="shared" si="41"/>
        <v/>
      </c>
      <c r="X106" s="24" t="str">
        <f t="shared" si="41"/>
        <v/>
      </c>
      <c r="Y106" s="24" t="str">
        <f t="shared" si="41"/>
        <v/>
      </c>
      <c r="Z106" s="24" t="str">
        <f t="shared" si="41"/>
        <v/>
      </c>
      <c r="AA106" s="24" t="str">
        <f t="shared" si="41"/>
        <v/>
      </c>
      <c r="AB106" s="24" t="str">
        <f t="shared" si="41"/>
        <v/>
      </c>
      <c r="AC106" s="24" t="str">
        <f t="shared" si="41"/>
        <v/>
      </c>
      <c r="AD106" s="24" t="str">
        <f t="shared" si="41"/>
        <v/>
      </c>
      <c r="AE106" s="24" t="str">
        <f t="shared" ref="AE106:AN115" si="42">IF(AND($C106="Milestone",$AP106&lt;&gt;""),IF(AND($AP106&gt;=AE$5,$AP106&lt;AE$5+$AO$3),"◆",""),"")</f>
        <v/>
      </c>
      <c r="AF106" s="24" t="str">
        <f t="shared" si="42"/>
        <v/>
      </c>
      <c r="AG106" s="24" t="str">
        <f t="shared" si="42"/>
        <v/>
      </c>
      <c r="AH106" s="24" t="str">
        <f t="shared" si="42"/>
        <v/>
      </c>
      <c r="AI106" s="24" t="str">
        <f t="shared" si="42"/>
        <v/>
      </c>
      <c r="AJ106" s="24" t="str">
        <f t="shared" si="42"/>
        <v/>
      </c>
      <c r="AK106" s="24" t="str">
        <f t="shared" si="42"/>
        <v/>
      </c>
      <c r="AL106" s="24" t="str">
        <f t="shared" si="42"/>
        <v/>
      </c>
      <c r="AM106" s="24" t="str">
        <f t="shared" si="42"/>
        <v/>
      </c>
      <c r="AN106" s="24" t="str">
        <f t="shared" si="42"/>
        <v/>
      </c>
      <c r="AO106" t="str">
        <f>IF($C106="Phase",IF($AR106=0,"",IF(COUNT(E107:INDEX(E$6:E$156,101+$AR106))=0,"",MIN(E107:INDEX(E$6:E$156,101+$AR106)))),IF($E106="","",$E106))</f>
        <v/>
      </c>
      <c r="AP106" t="str">
        <f>IF($C106="Phase",IF($AO106="","",MAX(G107:INDEX(G$6:G$156,101+$AR106))),IF($G106="","",$G106))</f>
        <v/>
      </c>
      <c r="AQ106">
        <f>IF($C106="Phase",IF($AR106=0,0,IF(SUM(F107:INDEX(F$6:F$156,101+$AR106))=0,0,SUMPRODUCT(F107:INDEX(F$6:F$156,101+$AR106),H107:INDEX(H$6:H$156,101+$AR106))/SUM(F107:INDEX(F$6:F$156,101+$AR106)))),N($H106))</f>
        <v>0</v>
      </c>
      <c r="AR106">
        <f>IF($C106&lt;&gt;"Phase",0,IFERROR(MATCH("Phase",$C107:$C$156,0)-1,49))</f>
        <v>0</v>
      </c>
      <c r="AS106" t="str">
        <f t="shared" si="39"/>
        <v/>
      </c>
    </row>
    <row r="107" spans="1:45" x14ac:dyDescent="0.3">
      <c r="A107" s="19"/>
      <c r="B107" s="19"/>
      <c r="C107" s="19"/>
      <c r="D107" s="19"/>
      <c r="E107" s="20"/>
      <c r="F107" s="19"/>
      <c r="G107" s="21" t="str">
        <f>IF($C107="Phase",$AP107,IF(OR($E107="",$F107=""),"",IF(N($F107)&lt;=0,$E107,WORKDAY.INTL($E107,$F107-1,Settings!$B$9,Holidays!$A$4:$A$103))))</f>
        <v/>
      </c>
      <c r="H107" s="22"/>
      <c r="I107" s="23" t="str">
        <f t="shared" ca="1" si="38"/>
        <v/>
      </c>
      <c r="J107" s="19"/>
      <c r="K107" s="24" t="str">
        <f t="shared" si="40"/>
        <v/>
      </c>
      <c r="L107" s="24" t="str">
        <f t="shared" si="40"/>
        <v/>
      </c>
      <c r="M107" s="24" t="str">
        <f t="shared" si="40"/>
        <v/>
      </c>
      <c r="N107" s="24" t="str">
        <f t="shared" si="40"/>
        <v/>
      </c>
      <c r="O107" s="24" t="str">
        <f t="shared" si="40"/>
        <v/>
      </c>
      <c r="P107" s="24" t="str">
        <f t="shared" si="40"/>
        <v/>
      </c>
      <c r="Q107" s="24" t="str">
        <f t="shared" si="40"/>
        <v/>
      </c>
      <c r="R107" s="24" t="str">
        <f t="shared" si="40"/>
        <v/>
      </c>
      <c r="S107" s="24" t="str">
        <f t="shared" si="40"/>
        <v/>
      </c>
      <c r="T107" s="24" t="str">
        <f t="shared" si="40"/>
        <v/>
      </c>
      <c r="U107" s="24" t="str">
        <f t="shared" si="41"/>
        <v/>
      </c>
      <c r="V107" s="24" t="str">
        <f t="shared" si="41"/>
        <v/>
      </c>
      <c r="W107" s="24" t="str">
        <f t="shared" si="41"/>
        <v/>
      </c>
      <c r="X107" s="24" t="str">
        <f t="shared" si="41"/>
        <v/>
      </c>
      <c r="Y107" s="24" t="str">
        <f t="shared" si="41"/>
        <v/>
      </c>
      <c r="Z107" s="24" t="str">
        <f t="shared" si="41"/>
        <v/>
      </c>
      <c r="AA107" s="24" t="str">
        <f t="shared" si="41"/>
        <v/>
      </c>
      <c r="AB107" s="24" t="str">
        <f t="shared" si="41"/>
        <v/>
      </c>
      <c r="AC107" s="24" t="str">
        <f t="shared" si="41"/>
        <v/>
      </c>
      <c r="AD107" s="24" t="str">
        <f t="shared" si="41"/>
        <v/>
      </c>
      <c r="AE107" s="24" t="str">
        <f t="shared" si="42"/>
        <v/>
      </c>
      <c r="AF107" s="24" t="str">
        <f t="shared" si="42"/>
        <v/>
      </c>
      <c r="AG107" s="24" t="str">
        <f t="shared" si="42"/>
        <v/>
      </c>
      <c r="AH107" s="24" t="str">
        <f t="shared" si="42"/>
        <v/>
      </c>
      <c r="AI107" s="24" t="str">
        <f t="shared" si="42"/>
        <v/>
      </c>
      <c r="AJ107" s="24" t="str">
        <f t="shared" si="42"/>
        <v/>
      </c>
      <c r="AK107" s="24" t="str">
        <f t="shared" si="42"/>
        <v/>
      </c>
      <c r="AL107" s="24" t="str">
        <f t="shared" si="42"/>
        <v/>
      </c>
      <c r="AM107" s="24" t="str">
        <f t="shared" si="42"/>
        <v/>
      </c>
      <c r="AN107" s="24" t="str">
        <f t="shared" si="42"/>
        <v/>
      </c>
      <c r="AO107" t="str">
        <f>IF($C107="Phase",IF($AR107=0,"",IF(COUNT(E108:INDEX(E$6:E$156,102+$AR107))=0,"",MIN(E108:INDEX(E$6:E$156,102+$AR107)))),IF($E107="","",$E107))</f>
        <v/>
      </c>
      <c r="AP107" t="str">
        <f>IF($C107="Phase",IF($AO107="","",MAX(G108:INDEX(G$6:G$156,102+$AR107))),IF($G107="","",$G107))</f>
        <v/>
      </c>
      <c r="AQ107">
        <f>IF($C107="Phase",IF($AR107=0,0,IF(SUM(F108:INDEX(F$6:F$156,102+$AR107))=0,0,SUMPRODUCT(F108:INDEX(F$6:F$156,102+$AR107),H108:INDEX(H$6:H$156,102+$AR107))/SUM(F108:INDEX(F$6:F$156,102+$AR107)))),N($H107))</f>
        <v>0</v>
      </c>
      <c r="AR107">
        <f>IF($C107&lt;&gt;"Phase",0,IFERROR(MATCH("Phase",$C108:$C$156,0)-1,48))</f>
        <v>0</v>
      </c>
      <c r="AS107" t="str">
        <f t="shared" si="39"/>
        <v/>
      </c>
    </row>
    <row r="108" spans="1:45" x14ac:dyDescent="0.3">
      <c r="A108" s="19"/>
      <c r="B108" s="19"/>
      <c r="C108" s="19"/>
      <c r="D108" s="19"/>
      <c r="E108" s="20"/>
      <c r="F108" s="19"/>
      <c r="G108" s="21" t="str">
        <f>IF($C108="Phase",$AP108,IF(OR($E108="",$F108=""),"",IF(N($F108)&lt;=0,$E108,WORKDAY.INTL($E108,$F108-1,Settings!$B$9,Holidays!$A$4:$A$103))))</f>
        <v/>
      </c>
      <c r="H108" s="22"/>
      <c r="I108" s="23" t="str">
        <f t="shared" ca="1" si="38"/>
        <v/>
      </c>
      <c r="J108" s="19"/>
      <c r="K108" s="24" t="str">
        <f t="shared" si="40"/>
        <v/>
      </c>
      <c r="L108" s="24" t="str">
        <f t="shared" si="40"/>
        <v/>
      </c>
      <c r="M108" s="24" t="str">
        <f t="shared" si="40"/>
        <v/>
      </c>
      <c r="N108" s="24" t="str">
        <f t="shared" si="40"/>
        <v/>
      </c>
      <c r="O108" s="24" t="str">
        <f t="shared" si="40"/>
        <v/>
      </c>
      <c r="P108" s="24" t="str">
        <f t="shared" si="40"/>
        <v/>
      </c>
      <c r="Q108" s="24" t="str">
        <f t="shared" si="40"/>
        <v/>
      </c>
      <c r="R108" s="24" t="str">
        <f t="shared" si="40"/>
        <v/>
      </c>
      <c r="S108" s="24" t="str">
        <f t="shared" si="40"/>
        <v/>
      </c>
      <c r="T108" s="24" t="str">
        <f t="shared" si="40"/>
        <v/>
      </c>
      <c r="U108" s="24" t="str">
        <f t="shared" si="41"/>
        <v/>
      </c>
      <c r="V108" s="24" t="str">
        <f t="shared" si="41"/>
        <v/>
      </c>
      <c r="W108" s="24" t="str">
        <f t="shared" si="41"/>
        <v/>
      </c>
      <c r="X108" s="24" t="str">
        <f t="shared" si="41"/>
        <v/>
      </c>
      <c r="Y108" s="24" t="str">
        <f t="shared" si="41"/>
        <v/>
      </c>
      <c r="Z108" s="24" t="str">
        <f t="shared" si="41"/>
        <v/>
      </c>
      <c r="AA108" s="24" t="str">
        <f t="shared" si="41"/>
        <v/>
      </c>
      <c r="AB108" s="24" t="str">
        <f t="shared" si="41"/>
        <v/>
      </c>
      <c r="AC108" s="24" t="str">
        <f t="shared" si="41"/>
        <v/>
      </c>
      <c r="AD108" s="24" t="str">
        <f t="shared" si="41"/>
        <v/>
      </c>
      <c r="AE108" s="24" t="str">
        <f t="shared" si="42"/>
        <v/>
      </c>
      <c r="AF108" s="24" t="str">
        <f t="shared" si="42"/>
        <v/>
      </c>
      <c r="AG108" s="24" t="str">
        <f t="shared" si="42"/>
        <v/>
      </c>
      <c r="AH108" s="24" t="str">
        <f t="shared" si="42"/>
        <v/>
      </c>
      <c r="AI108" s="24" t="str">
        <f t="shared" si="42"/>
        <v/>
      </c>
      <c r="AJ108" s="24" t="str">
        <f t="shared" si="42"/>
        <v/>
      </c>
      <c r="AK108" s="24" t="str">
        <f t="shared" si="42"/>
        <v/>
      </c>
      <c r="AL108" s="24" t="str">
        <f t="shared" si="42"/>
        <v/>
      </c>
      <c r="AM108" s="24" t="str">
        <f t="shared" si="42"/>
        <v/>
      </c>
      <c r="AN108" s="24" t="str">
        <f t="shared" si="42"/>
        <v/>
      </c>
      <c r="AO108" t="str">
        <f>IF($C108="Phase",IF($AR108=0,"",IF(COUNT(E109:INDEX(E$6:E$156,103+$AR108))=0,"",MIN(E109:INDEX(E$6:E$156,103+$AR108)))),IF($E108="","",$E108))</f>
        <v/>
      </c>
      <c r="AP108" t="str">
        <f>IF($C108="Phase",IF($AO108="","",MAX(G109:INDEX(G$6:G$156,103+$AR108))),IF($G108="","",$G108))</f>
        <v/>
      </c>
      <c r="AQ108">
        <f>IF($C108="Phase",IF($AR108=0,0,IF(SUM(F109:INDEX(F$6:F$156,103+$AR108))=0,0,SUMPRODUCT(F109:INDEX(F$6:F$156,103+$AR108),H109:INDEX(H$6:H$156,103+$AR108))/SUM(F109:INDEX(F$6:F$156,103+$AR108)))),N($H108))</f>
        <v>0</v>
      </c>
      <c r="AR108">
        <f>IF($C108&lt;&gt;"Phase",0,IFERROR(MATCH("Phase",$C109:$C$156,0)-1,47))</f>
        <v>0</v>
      </c>
      <c r="AS108" t="str">
        <f t="shared" si="39"/>
        <v/>
      </c>
    </row>
    <row r="109" spans="1:45" x14ac:dyDescent="0.3">
      <c r="A109" s="19"/>
      <c r="B109" s="19"/>
      <c r="C109" s="19"/>
      <c r="D109" s="19"/>
      <c r="E109" s="20"/>
      <c r="F109" s="19"/>
      <c r="G109" s="21" t="str">
        <f>IF($C109="Phase",$AP109,IF(OR($E109="",$F109=""),"",IF(N($F109)&lt;=0,$E109,WORKDAY.INTL($E109,$F109-1,Settings!$B$9,Holidays!$A$4:$A$103))))</f>
        <v/>
      </c>
      <c r="H109" s="22"/>
      <c r="I109" s="23" t="str">
        <f t="shared" ca="1" si="38"/>
        <v/>
      </c>
      <c r="J109" s="19"/>
      <c r="K109" s="24" t="str">
        <f t="shared" si="40"/>
        <v/>
      </c>
      <c r="L109" s="24" t="str">
        <f t="shared" si="40"/>
        <v/>
      </c>
      <c r="M109" s="24" t="str">
        <f t="shared" si="40"/>
        <v/>
      </c>
      <c r="N109" s="24" t="str">
        <f t="shared" si="40"/>
        <v/>
      </c>
      <c r="O109" s="24" t="str">
        <f t="shared" si="40"/>
        <v/>
      </c>
      <c r="P109" s="24" t="str">
        <f t="shared" si="40"/>
        <v/>
      </c>
      <c r="Q109" s="24" t="str">
        <f t="shared" si="40"/>
        <v/>
      </c>
      <c r="R109" s="24" t="str">
        <f t="shared" si="40"/>
        <v/>
      </c>
      <c r="S109" s="24" t="str">
        <f t="shared" si="40"/>
        <v/>
      </c>
      <c r="T109" s="24" t="str">
        <f t="shared" si="40"/>
        <v/>
      </c>
      <c r="U109" s="24" t="str">
        <f t="shared" si="41"/>
        <v/>
      </c>
      <c r="V109" s="24" t="str">
        <f t="shared" si="41"/>
        <v/>
      </c>
      <c r="W109" s="24" t="str">
        <f t="shared" si="41"/>
        <v/>
      </c>
      <c r="X109" s="24" t="str">
        <f t="shared" si="41"/>
        <v/>
      </c>
      <c r="Y109" s="24" t="str">
        <f t="shared" si="41"/>
        <v/>
      </c>
      <c r="Z109" s="24" t="str">
        <f t="shared" si="41"/>
        <v/>
      </c>
      <c r="AA109" s="24" t="str">
        <f t="shared" si="41"/>
        <v/>
      </c>
      <c r="AB109" s="24" t="str">
        <f t="shared" si="41"/>
        <v/>
      </c>
      <c r="AC109" s="24" t="str">
        <f t="shared" si="41"/>
        <v/>
      </c>
      <c r="AD109" s="24" t="str">
        <f t="shared" si="41"/>
        <v/>
      </c>
      <c r="AE109" s="24" t="str">
        <f t="shared" si="42"/>
        <v/>
      </c>
      <c r="AF109" s="24" t="str">
        <f t="shared" si="42"/>
        <v/>
      </c>
      <c r="AG109" s="24" t="str">
        <f t="shared" si="42"/>
        <v/>
      </c>
      <c r="AH109" s="24" t="str">
        <f t="shared" si="42"/>
        <v/>
      </c>
      <c r="AI109" s="24" t="str">
        <f t="shared" si="42"/>
        <v/>
      </c>
      <c r="AJ109" s="24" t="str">
        <f t="shared" si="42"/>
        <v/>
      </c>
      <c r="AK109" s="24" t="str">
        <f t="shared" si="42"/>
        <v/>
      </c>
      <c r="AL109" s="24" t="str">
        <f t="shared" si="42"/>
        <v/>
      </c>
      <c r="AM109" s="24" t="str">
        <f t="shared" si="42"/>
        <v/>
      </c>
      <c r="AN109" s="24" t="str">
        <f t="shared" si="42"/>
        <v/>
      </c>
      <c r="AO109" t="str">
        <f>IF($C109="Phase",IF($AR109=0,"",IF(COUNT(E110:INDEX(E$6:E$156,104+$AR109))=0,"",MIN(E110:INDEX(E$6:E$156,104+$AR109)))),IF($E109="","",$E109))</f>
        <v/>
      </c>
      <c r="AP109" t="str">
        <f>IF($C109="Phase",IF($AO109="","",MAX(G110:INDEX(G$6:G$156,104+$AR109))),IF($G109="","",$G109))</f>
        <v/>
      </c>
      <c r="AQ109">
        <f>IF($C109="Phase",IF($AR109=0,0,IF(SUM(F110:INDEX(F$6:F$156,104+$AR109))=0,0,SUMPRODUCT(F110:INDEX(F$6:F$156,104+$AR109),H110:INDEX(H$6:H$156,104+$AR109))/SUM(F110:INDEX(F$6:F$156,104+$AR109)))),N($H109))</f>
        <v>0</v>
      </c>
      <c r="AR109">
        <f>IF($C109&lt;&gt;"Phase",0,IFERROR(MATCH("Phase",$C110:$C$156,0)-1,46))</f>
        <v>0</v>
      </c>
      <c r="AS109" t="str">
        <f t="shared" si="39"/>
        <v/>
      </c>
    </row>
    <row r="110" spans="1:45" x14ac:dyDescent="0.3">
      <c r="A110" s="19"/>
      <c r="B110" s="19"/>
      <c r="C110" s="19"/>
      <c r="D110" s="19"/>
      <c r="E110" s="20"/>
      <c r="F110" s="19"/>
      <c r="G110" s="21" t="str">
        <f>IF($C110="Phase",$AP110,IF(OR($E110="",$F110=""),"",IF(N($F110)&lt;=0,$E110,WORKDAY.INTL($E110,$F110-1,Settings!$B$9,Holidays!$A$4:$A$103))))</f>
        <v/>
      </c>
      <c r="H110" s="22"/>
      <c r="I110" s="23" t="str">
        <f t="shared" ca="1" si="38"/>
        <v/>
      </c>
      <c r="J110" s="19"/>
      <c r="K110" s="24" t="str">
        <f t="shared" si="40"/>
        <v/>
      </c>
      <c r="L110" s="24" t="str">
        <f t="shared" si="40"/>
        <v/>
      </c>
      <c r="M110" s="24" t="str">
        <f t="shared" si="40"/>
        <v/>
      </c>
      <c r="N110" s="24" t="str">
        <f t="shared" si="40"/>
        <v/>
      </c>
      <c r="O110" s="24" t="str">
        <f t="shared" si="40"/>
        <v/>
      </c>
      <c r="P110" s="24" t="str">
        <f t="shared" si="40"/>
        <v/>
      </c>
      <c r="Q110" s="24" t="str">
        <f t="shared" si="40"/>
        <v/>
      </c>
      <c r="R110" s="24" t="str">
        <f t="shared" si="40"/>
        <v/>
      </c>
      <c r="S110" s="24" t="str">
        <f t="shared" si="40"/>
        <v/>
      </c>
      <c r="T110" s="24" t="str">
        <f t="shared" si="40"/>
        <v/>
      </c>
      <c r="U110" s="24" t="str">
        <f t="shared" si="41"/>
        <v/>
      </c>
      <c r="V110" s="24" t="str">
        <f t="shared" si="41"/>
        <v/>
      </c>
      <c r="W110" s="24" t="str">
        <f t="shared" si="41"/>
        <v/>
      </c>
      <c r="X110" s="24" t="str">
        <f t="shared" si="41"/>
        <v/>
      </c>
      <c r="Y110" s="24" t="str">
        <f t="shared" si="41"/>
        <v/>
      </c>
      <c r="Z110" s="24" t="str">
        <f t="shared" si="41"/>
        <v/>
      </c>
      <c r="AA110" s="24" t="str">
        <f t="shared" si="41"/>
        <v/>
      </c>
      <c r="AB110" s="24" t="str">
        <f t="shared" si="41"/>
        <v/>
      </c>
      <c r="AC110" s="24" t="str">
        <f t="shared" si="41"/>
        <v/>
      </c>
      <c r="AD110" s="24" t="str">
        <f t="shared" si="41"/>
        <v/>
      </c>
      <c r="AE110" s="24" t="str">
        <f t="shared" si="42"/>
        <v/>
      </c>
      <c r="AF110" s="24" t="str">
        <f t="shared" si="42"/>
        <v/>
      </c>
      <c r="AG110" s="24" t="str">
        <f t="shared" si="42"/>
        <v/>
      </c>
      <c r="AH110" s="24" t="str">
        <f t="shared" si="42"/>
        <v/>
      </c>
      <c r="AI110" s="24" t="str">
        <f t="shared" si="42"/>
        <v/>
      </c>
      <c r="AJ110" s="24" t="str">
        <f t="shared" si="42"/>
        <v/>
      </c>
      <c r="AK110" s="24" t="str">
        <f t="shared" si="42"/>
        <v/>
      </c>
      <c r="AL110" s="24" t="str">
        <f t="shared" si="42"/>
        <v/>
      </c>
      <c r="AM110" s="24" t="str">
        <f t="shared" si="42"/>
        <v/>
      </c>
      <c r="AN110" s="24" t="str">
        <f t="shared" si="42"/>
        <v/>
      </c>
      <c r="AO110" t="str">
        <f>IF($C110="Phase",IF($AR110=0,"",IF(COUNT(E111:INDEX(E$6:E$156,105+$AR110))=0,"",MIN(E111:INDEX(E$6:E$156,105+$AR110)))),IF($E110="","",$E110))</f>
        <v/>
      </c>
      <c r="AP110" t="str">
        <f>IF($C110="Phase",IF($AO110="","",MAX(G111:INDEX(G$6:G$156,105+$AR110))),IF($G110="","",$G110))</f>
        <v/>
      </c>
      <c r="AQ110">
        <f>IF($C110="Phase",IF($AR110=0,0,IF(SUM(F111:INDEX(F$6:F$156,105+$AR110))=0,0,SUMPRODUCT(F111:INDEX(F$6:F$156,105+$AR110),H111:INDEX(H$6:H$156,105+$AR110))/SUM(F111:INDEX(F$6:F$156,105+$AR110)))),N($H110))</f>
        <v>0</v>
      </c>
      <c r="AR110">
        <f>IF($C110&lt;&gt;"Phase",0,IFERROR(MATCH("Phase",$C111:$C$156,0)-1,45))</f>
        <v>0</v>
      </c>
      <c r="AS110" t="str">
        <f t="shared" si="39"/>
        <v/>
      </c>
    </row>
    <row r="111" spans="1:45" x14ac:dyDescent="0.3">
      <c r="A111" s="19"/>
      <c r="B111" s="19"/>
      <c r="C111" s="19"/>
      <c r="D111" s="19"/>
      <c r="E111" s="20"/>
      <c r="F111" s="19"/>
      <c r="G111" s="21" t="str">
        <f>IF($C111="Phase",$AP111,IF(OR($E111="",$F111=""),"",IF(N($F111)&lt;=0,$E111,WORKDAY.INTL($E111,$F111-1,Settings!$B$9,Holidays!$A$4:$A$103))))</f>
        <v/>
      </c>
      <c r="H111" s="22"/>
      <c r="I111" s="23" t="str">
        <f t="shared" ca="1" si="38"/>
        <v/>
      </c>
      <c r="J111" s="19"/>
      <c r="K111" s="24" t="str">
        <f t="shared" si="40"/>
        <v/>
      </c>
      <c r="L111" s="24" t="str">
        <f t="shared" si="40"/>
        <v/>
      </c>
      <c r="M111" s="24" t="str">
        <f t="shared" si="40"/>
        <v/>
      </c>
      <c r="N111" s="24" t="str">
        <f t="shared" si="40"/>
        <v/>
      </c>
      <c r="O111" s="24" t="str">
        <f t="shared" si="40"/>
        <v/>
      </c>
      <c r="P111" s="24" t="str">
        <f t="shared" si="40"/>
        <v/>
      </c>
      <c r="Q111" s="24" t="str">
        <f t="shared" si="40"/>
        <v/>
      </c>
      <c r="R111" s="24" t="str">
        <f t="shared" si="40"/>
        <v/>
      </c>
      <c r="S111" s="24" t="str">
        <f t="shared" si="40"/>
        <v/>
      </c>
      <c r="T111" s="24" t="str">
        <f t="shared" si="40"/>
        <v/>
      </c>
      <c r="U111" s="24" t="str">
        <f t="shared" si="41"/>
        <v/>
      </c>
      <c r="V111" s="24" t="str">
        <f t="shared" si="41"/>
        <v/>
      </c>
      <c r="W111" s="24" t="str">
        <f t="shared" si="41"/>
        <v/>
      </c>
      <c r="X111" s="24" t="str">
        <f t="shared" si="41"/>
        <v/>
      </c>
      <c r="Y111" s="24" t="str">
        <f t="shared" si="41"/>
        <v/>
      </c>
      <c r="Z111" s="24" t="str">
        <f t="shared" si="41"/>
        <v/>
      </c>
      <c r="AA111" s="24" t="str">
        <f t="shared" si="41"/>
        <v/>
      </c>
      <c r="AB111" s="24" t="str">
        <f t="shared" si="41"/>
        <v/>
      </c>
      <c r="AC111" s="24" t="str">
        <f t="shared" si="41"/>
        <v/>
      </c>
      <c r="AD111" s="24" t="str">
        <f t="shared" si="41"/>
        <v/>
      </c>
      <c r="AE111" s="24" t="str">
        <f t="shared" si="42"/>
        <v/>
      </c>
      <c r="AF111" s="24" t="str">
        <f t="shared" si="42"/>
        <v/>
      </c>
      <c r="AG111" s="24" t="str">
        <f t="shared" si="42"/>
        <v/>
      </c>
      <c r="AH111" s="24" t="str">
        <f t="shared" si="42"/>
        <v/>
      </c>
      <c r="AI111" s="24" t="str">
        <f t="shared" si="42"/>
        <v/>
      </c>
      <c r="AJ111" s="24" t="str">
        <f t="shared" si="42"/>
        <v/>
      </c>
      <c r="AK111" s="24" t="str">
        <f t="shared" si="42"/>
        <v/>
      </c>
      <c r="AL111" s="24" t="str">
        <f t="shared" si="42"/>
        <v/>
      </c>
      <c r="AM111" s="24" t="str">
        <f t="shared" si="42"/>
        <v/>
      </c>
      <c r="AN111" s="24" t="str">
        <f t="shared" si="42"/>
        <v/>
      </c>
      <c r="AO111" t="str">
        <f>IF($C111="Phase",IF($AR111=0,"",IF(COUNT(E112:INDEX(E$6:E$156,106+$AR111))=0,"",MIN(E112:INDEX(E$6:E$156,106+$AR111)))),IF($E111="","",$E111))</f>
        <v/>
      </c>
      <c r="AP111" t="str">
        <f>IF($C111="Phase",IF($AO111="","",MAX(G112:INDEX(G$6:G$156,106+$AR111))),IF($G111="","",$G111))</f>
        <v/>
      </c>
      <c r="AQ111">
        <f>IF($C111="Phase",IF($AR111=0,0,IF(SUM(F112:INDEX(F$6:F$156,106+$AR111))=0,0,SUMPRODUCT(F112:INDEX(F$6:F$156,106+$AR111),H112:INDEX(H$6:H$156,106+$AR111))/SUM(F112:INDEX(F$6:F$156,106+$AR111)))),N($H111))</f>
        <v>0</v>
      </c>
      <c r="AR111">
        <f>IF($C111&lt;&gt;"Phase",0,IFERROR(MATCH("Phase",$C112:$C$156,0)-1,44))</f>
        <v>0</v>
      </c>
      <c r="AS111" t="str">
        <f t="shared" si="39"/>
        <v/>
      </c>
    </row>
    <row r="112" spans="1:45" x14ac:dyDescent="0.3">
      <c r="A112" s="19"/>
      <c r="B112" s="19"/>
      <c r="C112" s="19"/>
      <c r="D112" s="19"/>
      <c r="E112" s="20"/>
      <c r="F112" s="19"/>
      <c r="G112" s="21" t="str">
        <f>IF($C112="Phase",$AP112,IF(OR($E112="",$F112=""),"",IF(N($F112)&lt;=0,$E112,WORKDAY.INTL($E112,$F112-1,Settings!$B$9,Holidays!$A$4:$A$103))))</f>
        <v/>
      </c>
      <c r="H112" s="22"/>
      <c r="I112" s="23" t="str">
        <f t="shared" ca="1" si="38"/>
        <v/>
      </c>
      <c r="J112" s="19"/>
      <c r="K112" s="24" t="str">
        <f t="shared" si="40"/>
        <v/>
      </c>
      <c r="L112" s="24" t="str">
        <f t="shared" si="40"/>
        <v/>
      </c>
      <c r="M112" s="24" t="str">
        <f t="shared" si="40"/>
        <v/>
      </c>
      <c r="N112" s="24" t="str">
        <f t="shared" si="40"/>
        <v/>
      </c>
      <c r="O112" s="24" t="str">
        <f t="shared" si="40"/>
        <v/>
      </c>
      <c r="P112" s="24" t="str">
        <f t="shared" si="40"/>
        <v/>
      </c>
      <c r="Q112" s="24" t="str">
        <f t="shared" si="40"/>
        <v/>
      </c>
      <c r="R112" s="24" t="str">
        <f t="shared" si="40"/>
        <v/>
      </c>
      <c r="S112" s="24" t="str">
        <f t="shared" si="40"/>
        <v/>
      </c>
      <c r="T112" s="24" t="str">
        <f t="shared" si="40"/>
        <v/>
      </c>
      <c r="U112" s="24" t="str">
        <f t="shared" si="41"/>
        <v/>
      </c>
      <c r="V112" s="24" t="str">
        <f t="shared" si="41"/>
        <v/>
      </c>
      <c r="W112" s="24" t="str">
        <f t="shared" si="41"/>
        <v/>
      </c>
      <c r="X112" s="24" t="str">
        <f t="shared" si="41"/>
        <v/>
      </c>
      <c r="Y112" s="24" t="str">
        <f t="shared" si="41"/>
        <v/>
      </c>
      <c r="Z112" s="24" t="str">
        <f t="shared" si="41"/>
        <v/>
      </c>
      <c r="AA112" s="24" t="str">
        <f t="shared" si="41"/>
        <v/>
      </c>
      <c r="AB112" s="24" t="str">
        <f t="shared" si="41"/>
        <v/>
      </c>
      <c r="AC112" s="24" t="str">
        <f t="shared" si="41"/>
        <v/>
      </c>
      <c r="AD112" s="24" t="str">
        <f t="shared" si="41"/>
        <v/>
      </c>
      <c r="AE112" s="24" t="str">
        <f t="shared" si="42"/>
        <v/>
      </c>
      <c r="AF112" s="24" t="str">
        <f t="shared" si="42"/>
        <v/>
      </c>
      <c r="AG112" s="24" t="str">
        <f t="shared" si="42"/>
        <v/>
      </c>
      <c r="AH112" s="24" t="str">
        <f t="shared" si="42"/>
        <v/>
      </c>
      <c r="AI112" s="24" t="str">
        <f t="shared" si="42"/>
        <v/>
      </c>
      <c r="AJ112" s="24" t="str">
        <f t="shared" si="42"/>
        <v/>
      </c>
      <c r="AK112" s="24" t="str">
        <f t="shared" si="42"/>
        <v/>
      </c>
      <c r="AL112" s="24" t="str">
        <f t="shared" si="42"/>
        <v/>
      </c>
      <c r="AM112" s="24" t="str">
        <f t="shared" si="42"/>
        <v/>
      </c>
      <c r="AN112" s="24" t="str">
        <f t="shared" si="42"/>
        <v/>
      </c>
      <c r="AO112" t="str">
        <f>IF($C112="Phase",IF($AR112=0,"",IF(COUNT(E113:INDEX(E$6:E$156,107+$AR112))=0,"",MIN(E113:INDEX(E$6:E$156,107+$AR112)))),IF($E112="","",$E112))</f>
        <v/>
      </c>
      <c r="AP112" t="str">
        <f>IF($C112="Phase",IF($AO112="","",MAX(G113:INDEX(G$6:G$156,107+$AR112))),IF($G112="","",$G112))</f>
        <v/>
      </c>
      <c r="AQ112">
        <f>IF($C112="Phase",IF($AR112=0,0,IF(SUM(F113:INDEX(F$6:F$156,107+$AR112))=0,0,SUMPRODUCT(F113:INDEX(F$6:F$156,107+$AR112),H113:INDEX(H$6:H$156,107+$AR112))/SUM(F113:INDEX(F$6:F$156,107+$AR112)))),N($H112))</f>
        <v>0</v>
      </c>
      <c r="AR112">
        <f>IF($C112&lt;&gt;"Phase",0,IFERROR(MATCH("Phase",$C113:$C$156,0)-1,43))</f>
        <v>0</v>
      </c>
      <c r="AS112" t="str">
        <f t="shared" si="39"/>
        <v/>
      </c>
    </row>
    <row r="113" spans="1:45" x14ac:dyDescent="0.3">
      <c r="A113" s="19"/>
      <c r="B113" s="19"/>
      <c r="C113" s="19"/>
      <c r="D113" s="19"/>
      <c r="E113" s="20"/>
      <c r="F113" s="19"/>
      <c r="G113" s="21" t="str">
        <f>IF($C113="Phase",$AP113,IF(OR($E113="",$F113=""),"",IF(N($F113)&lt;=0,$E113,WORKDAY.INTL($E113,$F113-1,Settings!$B$9,Holidays!$A$4:$A$103))))</f>
        <v/>
      </c>
      <c r="H113" s="22"/>
      <c r="I113" s="23" t="str">
        <f t="shared" ca="1" si="38"/>
        <v/>
      </c>
      <c r="J113" s="19"/>
      <c r="K113" s="24" t="str">
        <f t="shared" si="40"/>
        <v/>
      </c>
      <c r="L113" s="24" t="str">
        <f t="shared" si="40"/>
        <v/>
      </c>
      <c r="M113" s="24" t="str">
        <f t="shared" si="40"/>
        <v/>
      </c>
      <c r="N113" s="24" t="str">
        <f t="shared" si="40"/>
        <v/>
      </c>
      <c r="O113" s="24" t="str">
        <f t="shared" si="40"/>
        <v/>
      </c>
      <c r="P113" s="24" t="str">
        <f t="shared" si="40"/>
        <v/>
      </c>
      <c r="Q113" s="24" t="str">
        <f t="shared" si="40"/>
        <v/>
      </c>
      <c r="R113" s="24" t="str">
        <f t="shared" si="40"/>
        <v/>
      </c>
      <c r="S113" s="24" t="str">
        <f t="shared" si="40"/>
        <v/>
      </c>
      <c r="T113" s="24" t="str">
        <f t="shared" si="40"/>
        <v/>
      </c>
      <c r="U113" s="24" t="str">
        <f t="shared" si="41"/>
        <v/>
      </c>
      <c r="V113" s="24" t="str">
        <f t="shared" si="41"/>
        <v/>
      </c>
      <c r="W113" s="24" t="str">
        <f t="shared" si="41"/>
        <v/>
      </c>
      <c r="X113" s="24" t="str">
        <f t="shared" si="41"/>
        <v/>
      </c>
      <c r="Y113" s="24" t="str">
        <f t="shared" si="41"/>
        <v/>
      </c>
      <c r="Z113" s="24" t="str">
        <f t="shared" si="41"/>
        <v/>
      </c>
      <c r="AA113" s="24" t="str">
        <f t="shared" si="41"/>
        <v/>
      </c>
      <c r="AB113" s="24" t="str">
        <f t="shared" si="41"/>
        <v/>
      </c>
      <c r="AC113" s="24" t="str">
        <f t="shared" si="41"/>
        <v/>
      </c>
      <c r="AD113" s="24" t="str">
        <f t="shared" si="41"/>
        <v/>
      </c>
      <c r="AE113" s="24" t="str">
        <f t="shared" si="42"/>
        <v/>
      </c>
      <c r="AF113" s="24" t="str">
        <f t="shared" si="42"/>
        <v/>
      </c>
      <c r="AG113" s="24" t="str">
        <f t="shared" si="42"/>
        <v/>
      </c>
      <c r="AH113" s="24" t="str">
        <f t="shared" si="42"/>
        <v/>
      </c>
      <c r="AI113" s="24" t="str">
        <f t="shared" si="42"/>
        <v/>
      </c>
      <c r="AJ113" s="24" t="str">
        <f t="shared" si="42"/>
        <v/>
      </c>
      <c r="AK113" s="24" t="str">
        <f t="shared" si="42"/>
        <v/>
      </c>
      <c r="AL113" s="24" t="str">
        <f t="shared" si="42"/>
        <v/>
      </c>
      <c r="AM113" s="24" t="str">
        <f t="shared" si="42"/>
        <v/>
      </c>
      <c r="AN113" s="24" t="str">
        <f t="shared" si="42"/>
        <v/>
      </c>
      <c r="AO113" t="str">
        <f>IF($C113="Phase",IF($AR113=0,"",IF(COUNT(E114:INDEX(E$6:E$156,108+$AR113))=0,"",MIN(E114:INDEX(E$6:E$156,108+$AR113)))),IF($E113="","",$E113))</f>
        <v/>
      </c>
      <c r="AP113" t="str">
        <f>IF($C113="Phase",IF($AO113="","",MAX(G114:INDEX(G$6:G$156,108+$AR113))),IF($G113="","",$G113))</f>
        <v/>
      </c>
      <c r="AQ113">
        <f>IF($C113="Phase",IF($AR113=0,0,IF(SUM(F114:INDEX(F$6:F$156,108+$AR113))=0,0,SUMPRODUCT(F114:INDEX(F$6:F$156,108+$AR113),H114:INDEX(H$6:H$156,108+$AR113))/SUM(F114:INDEX(F$6:F$156,108+$AR113)))),N($H113))</f>
        <v>0</v>
      </c>
      <c r="AR113">
        <f>IF($C113&lt;&gt;"Phase",0,IFERROR(MATCH("Phase",$C114:$C$156,0)-1,42))</f>
        <v>0</v>
      </c>
      <c r="AS113" t="str">
        <f t="shared" si="39"/>
        <v/>
      </c>
    </row>
    <row r="114" spans="1:45" x14ac:dyDescent="0.3">
      <c r="A114" s="19"/>
      <c r="B114" s="19"/>
      <c r="C114" s="19"/>
      <c r="D114" s="19"/>
      <c r="E114" s="20"/>
      <c r="F114" s="19"/>
      <c r="G114" s="21" t="str">
        <f>IF($C114="Phase",$AP114,IF(OR($E114="",$F114=""),"",IF(N($F114)&lt;=0,$E114,WORKDAY.INTL($E114,$F114-1,Settings!$B$9,Holidays!$A$4:$A$103))))</f>
        <v/>
      </c>
      <c r="H114" s="22"/>
      <c r="I114" s="23" t="str">
        <f t="shared" ca="1" si="38"/>
        <v/>
      </c>
      <c r="J114" s="19"/>
      <c r="K114" s="24" t="str">
        <f t="shared" si="40"/>
        <v/>
      </c>
      <c r="L114" s="24" t="str">
        <f t="shared" si="40"/>
        <v/>
      </c>
      <c r="M114" s="24" t="str">
        <f t="shared" si="40"/>
        <v/>
      </c>
      <c r="N114" s="24" t="str">
        <f t="shared" si="40"/>
        <v/>
      </c>
      <c r="O114" s="24" t="str">
        <f t="shared" si="40"/>
        <v/>
      </c>
      <c r="P114" s="24" t="str">
        <f t="shared" si="40"/>
        <v/>
      </c>
      <c r="Q114" s="24" t="str">
        <f t="shared" si="40"/>
        <v/>
      </c>
      <c r="R114" s="24" t="str">
        <f t="shared" si="40"/>
        <v/>
      </c>
      <c r="S114" s="24" t="str">
        <f t="shared" si="40"/>
        <v/>
      </c>
      <c r="T114" s="24" t="str">
        <f t="shared" si="40"/>
        <v/>
      </c>
      <c r="U114" s="24" t="str">
        <f t="shared" si="41"/>
        <v/>
      </c>
      <c r="V114" s="24" t="str">
        <f t="shared" si="41"/>
        <v/>
      </c>
      <c r="W114" s="24" t="str">
        <f t="shared" si="41"/>
        <v/>
      </c>
      <c r="X114" s="24" t="str">
        <f t="shared" si="41"/>
        <v/>
      </c>
      <c r="Y114" s="24" t="str">
        <f t="shared" si="41"/>
        <v/>
      </c>
      <c r="Z114" s="24" t="str">
        <f t="shared" si="41"/>
        <v/>
      </c>
      <c r="AA114" s="24" t="str">
        <f t="shared" si="41"/>
        <v/>
      </c>
      <c r="AB114" s="24" t="str">
        <f t="shared" si="41"/>
        <v/>
      </c>
      <c r="AC114" s="24" t="str">
        <f t="shared" si="41"/>
        <v/>
      </c>
      <c r="AD114" s="24" t="str">
        <f t="shared" si="41"/>
        <v/>
      </c>
      <c r="AE114" s="24" t="str">
        <f t="shared" si="42"/>
        <v/>
      </c>
      <c r="AF114" s="24" t="str">
        <f t="shared" si="42"/>
        <v/>
      </c>
      <c r="AG114" s="24" t="str">
        <f t="shared" si="42"/>
        <v/>
      </c>
      <c r="AH114" s="24" t="str">
        <f t="shared" si="42"/>
        <v/>
      </c>
      <c r="AI114" s="24" t="str">
        <f t="shared" si="42"/>
        <v/>
      </c>
      <c r="AJ114" s="24" t="str">
        <f t="shared" si="42"/>
        <v/>
      </c>
      <c r="AK114" s="24" t="str">
        <f t="shared" si="42"/>
        <v/>
      </c>
      <c r="AL114" s="24" t="str">
        <f t="shared" si="42"/>
        <v/>
      </c>
      <c r="AM114" s="24" t="str">
        <f t="shared" si="42"/>
        <v/>
      </c>
      <c r="AN114" s="24" t="str">
        <f t="shared" si="42"/>
        <v/>
      </c>
      <c r="AO114" t="str">
        <f>IF($C114="Phase",IF($AR114=0,"",IF(COUNT(E115:INDEX(E$6:E$156,109+$AR114))=0,"",MIN(E115:INDEX(E$6:E$156,109+$AR114)))),IF($E114="","",$E114))</f>
        <v/>
      </c>
      <c r="AP114" t="str">
        <f>IF($C114="Phase",IF($AO114="","",MAX(G115:INDEX(G$6:G$156,109+$AR114))),IF($G114="","",$G114))</f>
        <v/>
      </c>
      <c r="AQ114">
        <f>IF($C114="Phase",IF($AR114=0,0,IF(SUM(F115:INDEX(F$6:F$156,109+$AR114))=0,0,SUMPRODUCT(F115:INDEX(F$6:F$156,109+$AR114),H115:INDEX(H$6:H$156,109+$AR114))/SUM(F115:INDEX(F$6:F$156,109+$AR114)))),N($H114))</f>
        <v>0</v>
      </c>
      <c r="AR114">
        <f>IF($C114&lt;&gt;"Phase",0,IFERROR(MATCH("Phase",$C115:$C$156,0)-1,41))</f>
        <v>0</v>
      </c>
      <c r="AS114" t="str">
        <f t="shared" si="39"/>
        <v/>
      </c>
    </row>
    <row r="115" spans="1:45" x14ac:dyDescent="0.3">
      <c r="A115" s="19"/>
      <c r="B115" s="19"/>
      <c r="C115" s="19"/>
      <c r="D115" s="19"/>
      <c r="E115" s="20"/>
      <c r="F115" s="19"/>
      <c r="G115" s="21" t="str">
        <f>IF($C115="Phase",$AP115,IF(OR($E115="",$F115=""),"",IF(N($F115)&lt;=0,$E115,WORKDAY.INTL($E115,$F115-1,Settings!$B$9,Holidays!$A$4:$A$103))))</f>
        <v/>
      </c>
      <c r="H115" s="22"/>
      <c r="I115" s="23" t="str">
        <f t="shared" ca="1" si="38"/>
        <v/>
      </c>
      <c r="J115" s="19"/>
      <c r="K115" s="24" t="str">
        <f t="shared" si="40"/>
        <v/>
      </c>
      <c r="L115" s="24" t="str">
        <f t="shared" si="40"/>
        <v/>
      </c>
      <c r="M115" s="24" t="str">
        <f t="shared" si="40"/>
        <v/>
      </c>
      <c r="N115" s="24" t="str">
        <f t="shared" si="40"/>
        <v/>
      </c>
      <c r="O115" s="24" t="str">
        <f t="shared" si="40"/>
        <v/>
      </c>
      <c r="P115" s="24" t="str">
        <f t="shared" si="40"/>
        <v/>
      </c>
      <c r="Q115" s="24" t="str">
        <f t="shared" si="40"/>
        <v/>
      </c>
      <c r="R115" s="24" t="str">
        <f t="shared" si="40"/>
        <v/>
      </c>
      <c r="S115" s="24" t="str">
        <f t="shared" si="40"/>
        <v/>
      </c>
      <c r="T115" s="24" t="str">
        <f t="shared" si="40"/>
        <v/>
      </c>
      <c r="U115" s="24" t="str">
        <f t="shared" si="41"/>
        <v/>
      </c>
      <c r="V115" s="24" t="str">
        <f t="shared" si="41"/>
        <v/>
      </c>
      <c r="W115" s="24" t="str">
        <f t="shared" si="41"/>
        <v/>
      </c>
      <c r="X115" s="24" t="str">
        <f t="shared" si="41"/>
        <v/>
      </c>
      <c r="Y115" s="24" t="str">
        <f t="shared" si="41"/>
        <v/>
      </c>
      <c r="Z115" s="24" t="str">
        <f t="shared" si="41"/>
        <v/>
      </c>
      <c r="AA115" s="24" t="str">
        <f t="shared" si="41"/>
        <v/>
      </c>
      <c r="AB115" s="24" t="str">
        <f t="shared" si="41"/>
        <v/>
      </c>
      <c r="AC115" s="24" t="str">
        <f t="shared" si="41"/>
        <v/>
      </c>
      <c r="AD115" s="24" t="str">
        <f t="shared" si="41"/>
        <v/>
      </c>
      <c r="AE115" s="24" t="str">
        <f t="shared" si="42"/>
        <v/>
      </c>
      <c r="AF115" s="24" t="str">
        <f t="shared" si="42"/>
        <v/>
      </c>
      <c r="AG115" s="24" t="str">
        <f t="shared" si="42"/>
        <v/>
      </c>
      <c r="AH115" s="24" t="str">
        <f t="shared" si="42"/>
        <v/>
      </c>
      <c r="AI115" s="24" t="str">
        <f t="shared" si="42"/>
        <v/>
      </c>
      <c r="AJ115" s="24" t="str">
        <f t="shared" si="42"/>
        <v/>
      </c>
      <c r="AK115" s="24" t="str">
        <f t="shared" si="42"/>
        <v/>
      </c>
      <c r="AL115" s="24" t="str">
        <f t="shared" si="42"/>
        <v/>
      </c>
      <c r="AM115" s="24" t="str">
        <f t="shared" si="42"/>
        <v/>
      </c>
      <c r="AN115" s="24" t="str">
        <f t="shared" si="42"/>
        <v/>
      </c>
      <c r="AO115" t="str">
        <f>IF($C115="Phase",IF($AR115=0,"",IF(COUNT(E116:INDEX(E$6:E$156,110+$AR115))=0,"",MIN(E116:INDEX(E$6:E$156,110+$AR115)))),IF($E115="","",$E115))</f>
        <v/>
      </c>
      <c r="AP115" t="str">
        <f>IF($C115="Phase",IF($AO115="","",MAX(G116:INDEX(G$6:G$156,110+$AR115))),IF($G115="","",$G115))</f>
        <v/>
      </c>
      <c r="AQ115">
        <f>IF($C115="Phase",IF($AR115=0,0,IF(SUM(F116:INDEX(F$6:F$156,110+$AR115))=0,0,SUMPRODUCT(F116:INDEX(F$6:F$156,110+$AR115),H116:INDEX(H$6:H$156,110+$AR115))/SUM(F116:INDEX(F$6:F$156,110+$AR115)))),N($H115))</f>
        <v>0</v>
      </c>
      <c r="AR115">
        <f>IF($C115&lt;&gt;"Phase",0,IFERROR(MATCH("Phase",$C116:$C$156,0)-1,40))</f>
        <v>0</v>
      </c>
      <c r="AS115" t="str">
        <f t="shared" si="39"/>
        <v/>
      </c>
    </row>
    <row r="116" spans="1:45" x14ac:dyDescent="0.3">
      <c r="A116" s="19"/>
      <c r="B116" s="19"/>
      <c r="C116" s="19"/>
      <c r="D116" s="19"/>
      <c r="E116" s="20"/>
      <c r="F116" s="19"/>
      <c r="G116" s="21" t="str">
        <f>IF($C116="Phase",$AP116,IF(OR($E116="",$F116=""),"",IF(N($F116)&lt;=0,$E116,WORKDAY.INTL($E116,$F116-1,Settings!$B$9,Holidays!$A$4:$A$103))))</f>
        <v/>
      </c>
      <c r="H116" s="22"/>
      <c r="I116" s="23" t="str">
        <f t="shared" ca="1" si="38"/>
        <v/>
      </c>
      <c r="J116" s="19"/>
      <c r="K116" s="24" t="str">
        <f t="shared" ref="K116:T125" si="43">IF(AND($C116="Milestone",$AP116&lt;&gt;""),IF(AND($AP116&gt;=K$5,$AP116&lt;K$5+$AO$3),"◆",""),"")</f>
        <v/>
      </c>
      <c r="L116" s="24" t="str">
        <f t="shared" si="43"/>
        <v/>
      </c>
      <c r="M116" s="24" t="str">
        <f t="shared" si="43"/>
        <v/>
      </c>
      <c r="N116" s="24" t="str">
        <f t="shared" si="43"/>
        <v/>
      </c>
      <c r="O116" s="24" t="str">
        <f t="shared" si="43"/>
        <v/>
      </c>
      <c r="P116" s="24" t="str">
        <f t="shared" si="43"/>
        <v/>
      </c>
      <c r="Q116" s="24" t="str">
        <f t="shared" si="43"/>
        <v/>
      </c>
      <c r="R116" s="24" t="str">
        <f t="shared" si="43"/>
        <v/>
      </c>
      <c r="S116" s="24" t="str">
        <f t="shared" si="43"/>
        <v/>
      </c>
      <c r="T116" s="24" t="str">
        <f t="shared" si="43"/>
        <v/>
      </c>
      <c r="U116" s="24" t="str">
        <f t="shared" ref="U116:AD125" si="44">IF(AND($C116="Milestone",$AP116&lt;&gt;""),IF(AND($AP116&gt;=U$5,$AP116&lt;U$5+$AO$3),"◆",""),"")</f>
        <v/>
      </c>
      <c r="V116" s="24" t="str">
        <f t="shared" si="44"/>
        <v/>
      </c>
      <c r="W116" s="24" t="str">
        <f t="shared" si="44"/>
        <v/>
      </c>
      <c r="X116" s="24" t="str">
        <f t="shared" si="44"/>
        <v/>
      </c>
      <c r="Y116" s="24" t="str">
        <f t="shared" si="44"/>
        <v/>
      </c>
      <c r="Z116" s="24" t="str">
        <f t="shared" si="44"/>
        <v/>
      </c>
      <c r="AA116" s="24" t="str">
        <f t="shared" si="44"/>
        <v/>
      </c>
      <c r="AB116" s="24" t="str">
        <f t="shared" si="44"/>
        <v/>
      </c>
      <c r="AC116" s="24" t="str">
        <f t="shared" si="44"/>
        <v/>
      </c>
      <c r="AD116" s="24" t="str">
        <f t="shared" si="44"/>
        <v/>
      </c>
      <c r="AE116" s="24" t="str">
        <f t="shared" ref="AE116:AN125" si="45">IF(AND($C116="Milestone",$AP116&lt;&gt;""),IF(AND($AP116&gt;=AE$5,$AP116&lt;AE$5+$AO$3),"◆",""),"")</f>
        <v/>
      </c>
      <c r="AF116" s="24" t="str">
        <f t="shared" si="45"/>
        <v/>
      </c>
      <c r="AG116" s="24" t="str">
        <f t="shared" si="45"/>
        <v/>
      </c>
      <c r="AH116" s="24" t="str">
        <f t="shared" si="45"/>
        <v/>
      </c>
      <c r="AI116" s="24" t="str">
        <f t="shared" si="45"/>
        <v/>
      </c>
      <c r="AJ116" s="24" t="str">
        <f t="shared" si="45"/>
        <v/>
      </c>
      <c r="AK116" s="24" t="str">
        <f t="shared" si="45"/>
        <v/>
      </c>
      <c r="AL116" s="24" t="str">
        <f t="shared" si="45"/>
        <v/>
      </c>
      <c r="AM116" s="24" t="str">
        <f t="shared" si="45"/>
        <v/>
      </c>
      <c r="AN116" s="24" t="str">
        <f t="shared" si="45"/>
        <v/>
      </c>
      <c r="AO116" t="str">
        <f>IF($C116="Phase",IF($AR116=0,"",IF(COUNT(E117:INDEX(E$6:E$156,111+$AR116))=0,"",MIN(E117:INDEX(E$6:E$156,111+$AR116)))),IF($E116="","",$E116))</f>
        <v/>
      </c>
      <c r="AP116" t="str">
        <f>IF($C116="Phase",IF($AO116="","",MAX(G117:INDEX(G$6:G$156,111+$AR116))),IF($G116="","",$G116))</f>
        <v/>
      </c>
      <c r="AQ116">
        <f>IF($C116="Phase",IF($AR116=0,0,IF(SUM(F117:INDEX(F$6:F$156,111+$AR116))=0,0,SUMPRODUCT(F117:INDEX(F$6:F$156,111+$AR116),H117:INDEX(H$6:H$156,111+$AR116))/SUM(F117:INDEX(F$6:F$156,111+$AR116)))),N($H116))</f>
        <v>0</v>
      </c>
      <c r="AR116">
        <f>IF($C116&lt;&gt;"Phase",0,IFERROR(MATCH("Phase",$C117:$C$156,0)-1,39))</f>
        <v>0</v>
      </c>
      <c r="AS116" t="str">
        <f t="shared" si="39"/>
        <v/>
      </c>
    </row>
    <row r="117" spans="1:45" x14ac:dyDescent="0.3">
      <c r="A117" s="19"/>
      <c r="B117" s="19"/>
      <c r="C117" s="19"/>
      <c r="D117" s="19"/>
      <c r="E117" s="20"/>
      <c r="F117" s="19"/>
      <c r="G117" s="21" t="str">
        <f>IF($C117="Phase",$AP117,IF(OR($E117="",$F117=""),"",IF(N($F117)&lt;=0,$E117,WORKDAY.INTL($E117,$F117-1,Settings!$B$9,Holidays!$A$4:$A$103))))</f>
        <v/>
      </c>
      <c r="H117" s="22"/>
      <c r="I117" s="23" t="str">
        <f t="shared" ca="1" si="38"/>
        <v/>
      </c>
      <c r="J117" s="19"/>
      <c r="K117" s="24" t="str">
        <f t="shared" si="43"/>
        <v/>
      </c>
      <c r="L117" s="24" t="str">
        <f t="shared" si="43"/>
        <v/>
      </c>
      <c r="M117" s="24" t="str">
        <f t="shared" si="43"/>
        <v/>
      </c>
      <c r="N117" s="24" t="str">
        <f t="shared" si="43"/>
        <v/>
      </c>
      <c r="O117" s="24" t="str">
        <f t="shared" si="43"/>
        <v/>
      </c>
      <c r="P117" s="24" t="str">
        <f t="shared" si="43"/>
        <v/>
      </c>
      <c r="Q117" s="24" t="str">
        <f t="shared" si="43"/>
        <v/>
      </c>
      <c r="R117" s="24" t="str">
        <f t="shared" si="43"/>
        <v/>
      </c>
      <c r="S117" s="24" t="str">
        <f t="shared" si="43"/>
        <v/>
      </c>
      <c r="T117" s="24" t="str">
        <f t="shared" si="43"/>
        <v/>
      </c>
      <c r="U117" s="24" t="str">
        <f t="shared" si="44"/>
        <v/>
      </c>
      <c r="V117" s="24" t="str">
        <f t="shared" si="44"/>
        <v/>
      </c>
      <c r="W117" s="24" t="str">
        <f t="shared" si="44"/>
        <v/>
      </c>
      <c r="X117" s="24" t="str">
        <f t="shared" si="44"/>
        <v/>
      </c>
      <c r="Y117" s="24" t="str">
        <f t="shared" si="44"/>
        <v/>
      </c>
      <c r="Z117" s="24" t="str">
        <f t="shared" si="44"/>
        <v/>
      </c>
      <c r="AA117" s="24" t="str">
        <f t="shared" si="44"/>
        <v/>
      </c>
      <c r="AB117" s="24" t="str">
        <f t="shared" si="44"/>
        <v/>
      </c>
      <c r="AC117" s="24" t="str">
        <f t="shared" si="44"/>
        <v/>
      </c>
      <c r="AD117" s="24" t="str">
        <f t="shared" si="44"/>
        <v/>
      </c>
      <c r="AE117" s="24" t="str">
        <f t="shared" si="45"/>
        <v/>
      </c>
      <c r="AF117" s="24" t="str">
        <f t="shared" si="45"/>
        <v/>
      </c>
      <c r="AG117" s="24" t="str">
        <f t="shared" si="45"/>
        <v/>
      </c>
      <c r="AH117" s="24" t="str">
        <f t="shared" si="45"/>
        <v/>
      </c>
      <c r="AI117" s="24" t="str">
        <f t="shared" si="45"/>
        <v/>
      </c>
      <c r="AJ117" s="24" t="str">
        <f t="shared" si="45"/>
        <v/>
      </c>
      <c r="AK117" s="24" t="str">
        <f t="shared" si="45"/>
        <v/>
      </c>
      <c r="AL117" s="24" t="str">
        <f t="shared" si="45"/>
        <v/>
      </c>
      <c r="AM117" s="24" t="str">
        <f t="shared" si="45"/>
        <v/>
      </c>
      <c r="AN117" s="24" t="str">
        <f t="shared" si="45"/>
        <v/>
      </c>
      <c r="AO117" t="str">
        <f>IF($C117="Phase",IF($AR117=0,"",IF(COUNT(E118:INDEX(E$6:E$156,112+$AR117))=0,"",MIN(E118:INDEX(E$6:E$156,112+$AR117)))),IF($E117="","",$E117))</f>
        <v/>
      </c>
      <c r="AP117" t="str">
        <f>IF($C117="Phase",IF($AO117="","",MAX(G118:INDEX(G$6:G$156,112+$AR117))),IF($G117="","",$G117))</f>
        <v/>
      </c>
      <c r="AQ117">
        <f>IF($C117="Phase",IF($AR117=0,0,IF(SUM(F118:INDEX(F$6:F$156,112+$AR117))=0,0,SUMPRODUCT(F118:INDEX(F$6:F$156,112+$AR117),H118:INDEX(H$6:H$156,112+$AR117))/SUM(F118:INDEX(F$6:F$156,112+$AR117)))),N($H117))</f>
        <v>0</v>
      </c>
      <c r="AR117">
        <f>IF($C117&lt;&gt;"Phase",0,IFERROR(MATCH("Phase",$C118:$C$156,0)-1,38))</f>
        <v>0</v>
      </c>
      <c r="AS117" t="str">
        <f t="shared" si="39"/>
        <v/>
      </c>
    </row>
    <row r="118" spans="1:45" x14ac:dyDescent="0.3">
      <c r="A118" s="19"/>
      <c r="B118" s="19"/>
      <c r="C118" s="19"/>
      <c r="D118" s="19"/>
      <c r="E118" s="20"/>
      <c r="F118" s="19"/>
      <c r="G118" s="21" t="str">
        <f>IF($C118="Phase",$AP118,IF(OR($E118="",$F118=""),"",IF(N($F118)&lt;=0,$E118,WORKDAY.INTL($E118,$F118-1,Settings!$B$9,Holidays!$A$4:$A$103))))</f>
        <v/>
      </c>
      <c r="H118" s="22"/>
      <c r="I118" s="23" t="str">
        <f t="shared" ca="1" si="38"/>
        <v/>
      </c>
      <c r="J118" s="19"/>
      <c r="K118" s="24" t="str">
        <f t="shared" si="43"/>
        <v/>
      </c>
      <c r="L118" s="24" t="str">
        <f t="shared" si="43"/>
        <v/>
      </c>
      <c r="M118" s="24" t="str">
        <f t="shared" si="43"/>
        <v/>
      </c>
      <c r="N118" s="24" t="str">
        <f t="shared" si="43"/>
        <v/>
      </c>
      <c r="O118" s="24" t="str">
        <f t="shared" si="43"/>
        <v/>
      </c>
      <c r="P118" s="24" t="str">
        <f t="shared" si="43"/>
        <v/>
      </c>
      <c r="Q118" s="24" t="str">
        <f t="shared" si="43"/>
        <v/>
      </c>
      <c r="R118" s="24" t="str">
        <f t="shared" si="43"/>
        <v/>
      </c>
      <c r="S118" s="24" t="str">
        <f t="shared" si="43"/>
        <v/>
      </c>
      <c r="T118" s="24" t="str">
        <f t="shared" si="43"/>
        <v/>
      </c>
      <c r="U118" s="24" t="str">
        <f t="shared" si="44"/>
        <v/>
      </c>
      <c r="V118" s="24" t="str">
        <f t="shared" si="44"/>
        <v/>
      </c>
      <c r="W118" s="24" t="str">
        <f t="shared" si="44"/>
        <v/>
      </c>
      <c r="X118" s="24" t="str">
        <f t="shared" si="44"/>
        <v/>
      </c>
      <c r="Y118" s="24" t="str">
        <f t="shared" si="44"/>
        <v/>
      </c>
      <c r="Z118" s="24" t="str">
        <f t="shared" si="44"/>
        <v/>
      </c>
      <c r="AA118" s="24" t="str">
        <f t="shared" si="44"/>
        <v/>
      </c>
      <c r="AB118" s="24" t="str">
        <f t="shared" si="44"/>
        <v/>
      </c>
      <c r="AC118" s="24" t="str">
        <f t="shared" si="44"/>
        <v/>
      </c>
      <c r="AD118" s="24" t="str">
        <f t="shared" si="44"/>
        <v/>
      </c>
      <c r="AE118" s="24" t="str">
        <f t="shared" si="45"/>
        <v/>
      </c>
      <c r="AF118" s="24" t="str">
        <f t="shared" si="45"/>
        <v/>
      </c>
      <c r="AG118" s="24" t="str">
        <f t="shared" si="45"/>
        <v/>
      </c>
      <c r="AH118" s="24" t="str">
        <f t="shared" si="45"/>
        <v/>
      </c>
      <c r="AI118" s="24" t="str">
        <f t="shared" si="45"/>
        <v/>
      </c>
      <c r="AJ118" s="24" t="str">
        <f t="shared" si="45"/>
        <v/>
      </c>
      <c r="AK118" s="24" t="str">
        <f t="shared" si="45"/>
        <v/>
      </c>
      <c r="AL118" s="24" t="str">
        <f t="shared" si="45"/>
        <v/>
      </c>
      <c r="AM118" s="24" t="str">
        <f t="shared" si="45"/>
        <v/>
      </c>
      <c r="AN118" s="24" t="str">
        <f t="shared" si="45"/>
        <v/>
      </c>
      <c r="AO118" t="str">
        <f>IF($C118="Phase",IF($AR118=0,"",IF(COUNT(E119:INDEX(E$6:E$156,113+$AR118))=0,"",MIN(E119:INDEX(E$6:E$156,113+$AR118)))),IF($E118="","",$E118))</f>
        <v/>
      </c>
      <c r="AP118" t="str">
        <f>IF($C118="Phase",IF($AO118="","",MAX(G119:INDEX(G$6:G$156,113+$AR118))),IF($G118="","",$G118))</f>
        <v/>
      </c>
      <c r="AQ118">
        <f>IF($C118="Phase",IF($AR118=0,0,IF(SUM(F119:INDEX(F$6:F$156,113+$AR118))=0,0,SUMPRODUCT(F119:INDEX(F$6:F$156,113+$AR118),H119:INDEX(H$6:H$156,113+$AR118))/SUM(F119:INDEX(F$6:F$156,113+$AR118)))),N($H118))</f>
        <v>0</v>
      </c>
      <c r="AR118">
        <f>IF($C118&lt;&gt;"Phase",0,IFERROR(MATCH("Phase",$C119:$C$156,0)-1,37))</f>
        <v>0</v>
      </c>
      <c r="AS118" t="str">
        <f t="shared" si="39"/>
        <v/>
      </c>
    </row>
    <row r="119" spans="1:45" x14ac:dyDescent="0.3">
      <c r="A119" s="19"/>
      <c r="B119" s="19"/>
      <c r="C119" s="19"/>
      <c r="D119" s="19"/>
      <c r="E119" s="20"/>
      <c r="F119" s="19"/>
      <c r="G119" s="21" t="str">
        <f>IF($C119="Phase",$AP119,IF(OR($E119="",$F119=""),"",IF(N($F119)&lt;=0,$E119,WORKDAY.INTL($E119,$F119-1,Settings!$B$9,Holidays!$A$4:$A$103))))</f>
        <v/>
      </c>
      <c r="H119" s="22"/>
      <c r="I119" s="23" t="str">
        <f t="shared" ca="1" si="38"/>
        <v/>
      </c>
      <c r="J119" s="19"/>
      <c r="K119" s="24" t="str">
        <f t="shared" si="43"/>
        <v/>
      </c>
      <c r="L119" s="24" t="str">
        <f t="shared" si="43"/>
        <v/>
      </c>
      <c r="M119" s="24" t="str">
        <f t="shared" si="43"/>
        <v/>
      </c>
      <c r="N119" s="24" t="str">
        <f t="shared" si="43"/>
        <v/>
      </c>
      <c r="O119" s="24" t="str">
        <f t="shared" si="43"/>
        <v/>
      </c>
      <c r="P119" s="24" t="str">
        <f t="shared" si="43"/>
        <v/>
      </c>
      <c r="Q119" s="24" t="str">
        <f t="shared" si="43"/>
        <v/>
      </c>
      <c r="R119" s="24" t="str">
        <f t="shared" si="43"/>
        <v/>
      </c>
      <c r="S119" s="24" t="str">
        <f t="shared" si="43"/>
        <v/>
      </c>
      <c r="T119" s="24" t="str">
        <f t="shared" si="43"/>
        <v/>
      </c>
      <c r="U119" s="24" t="str">
        <f t="shared" si="44"/>
        <v/>
      </c>
      <c r="V119" s="24" t="str">
        <f t="shared" si="44"/>
        <v/>
      </c>
      <c r="W119" s="24" t="str">
        <f t="shared" si="44"/>
        <v/>
      </c>
      <c r="X119" s="24" t="str">
        <f t="shared" si="44"/>
        <v/>
      </c>
      <c r="Y119" s="24" t="str">
        <f t="shared" si="44"/>
        <v/>
      </c>
      <c r="Z119" s="24" t="str">
        <f t="shared" si="44"/>
        <v/>
      </c>
      <c r="AA119" s="24" t="str">
        <f t="shared" si="44"/>
        <v/>
      </c>
      <c r="AB119" s="24" t="str">
        <f t="shared" si="44"/>
        <v/>
      </c>
      <c r="AC119" s="24" t="str">
        <f t="shared" si="44"/>
        <v/>
      </c>
      <c r="AD119" s="24" t="str">
        <f t="shared" si="44"/>
        <v/>
      </c>
      <c r="AE119" s="24" t="str">
        <f t="shared" si="45"/>
        <v/>
      </c>
      <c r="AF119" s="24" t="str">
        <f t="shared" si="45"/>
        <v/>
      </c>
      <c r="AG119" s="24" t="str">
        <f t="shared" si="45"/>
        <v/>
      </c>
      <c r="AH119" s="24" t="str">
        <f t="shared" si="45"/>
        <v/>
      </c>
      <c r="AI119" s="24" t="str">
        <f t="shared" si="45"/>
        <v/>
      </c>
      <c r="AJ119" s="24" t="str">
        <f t="shared" si="45"/>
        <v/>
      </c>
      <c r="AK119" s="24" t="str">
        <f t="shared" si="45"/>
        <v/>
      </c>
      <c r="AL119" s="24" t="str">
        <f t="shared" si="45"/>
        <v/>
      </c>
      <c r="AM119" s="24" t="str">
        <f t="shared" si="45"/>
        <v/>
      </c>
      <c r="AN119" s="24" t="str">
        <f t="shared" si="45"/>
        <v/>
      </c>
      <c r="AO119" t="str">
        <f>IF($C119="Phase",IF($AR119=0,"",IF(COUNT(E120:INDEX(E$6:E$156,114+$AR119))=0,"",MIN(E120:INDEX(E$6:E$156,114+$AR119)))),IF($E119="","",$E119))</f>
        <v/>
      </c>
      <c r="AP119" t="str">
        <f>IF($C119="Phase",IF($AO119="","",MAX(G120:INDEX(G$6:G$156,114+$AR119))),IF($G119="","",$G119))</f>
        <v/>
      </c>
      <c r="AQ119">
        <f>IF($C119="Phase",IF($AR119=0,0,IF(SUM(F120:INDEX(F$6:F$156,114+$AR119))=0,0,SUMPRODUCT(F120:INDEX(F$6:F$156,114+$AR119),H120:INDEX(H$6:H$156,114+$AR119))/SUM(F120:INDEX(F$6:F$156,114+$AR119)))),N($H119))</f>
        <v>0</v>
      </c>
      <c r="AR119">
        <f>IF($C119&lt;&gt;"Phase",0,IFERROR(MATCH("Phase",$C120:$C$156,0)-1,36))</f>
        <v>0</v>
      </c>
      <c r="AS119" t="str">
        <f t="shared" si="39"/>
        <v/>
      </c>
    </row>
    <row r="120" spans="1:45" x14ac:dyDescent="0.3">
      <c r="A120" s="19"/>
      <c r="B120" s="19"/>
      <c r="C120" s="19"/>
      <c r="D120" s="19"/>
      <c r="E120" s="20"/>
      <c r="F120" s="19"/>
      <c r="G120" s="21" t="str">
        <f>IF($C120="Phase",$AP120,IF(OR($E120="",$F120=""),"",IF(N($F120)&lt;=0,$E120,WORKDAY.INTL($E120,$F120-1,Settings!$B$9,Holidays!$A$4:$A$103))))</f>
        <v/>
      </c>
      <c r="H120" s="22"/>
      <c r="I120" s="23" t="str">
        <f t="shared" ca="1" si="38"/>
        <v/>
      </c>
      <c r="J120" s="19"/>
      <c r="K120" s="24" t="str">
        <f t="shared" si="43"/>
        <v/>
      </c>
      <c r="L120" s="24" t="str">
        <f t="shared" si="43"/>
        <v/>
      </c>
      <c r="M120" s="24" t="str">
        <f t="shared" si="43"/>
        <v/>
      </c>
      <c r="N120" s="24" t="str">
        <f t="shared" si="43"/>
        <v/>
      </c>
      <c r="O120" s="24" t="str">
        <f t="shared" si="43"/>
        <v/>
      </c>
      <c r="P120" s="24" t="str">
        <f t="shared" si="43"/>
        <v/>
      </c>
      <c r="Q120" s="24" t="str">
        <f t="shared" si="43"/>
        <v/>
      </c>
      <c r="R120" s="24" t="str">
        <f t="shared" si="43"/>
        <v/>
      </c>
      <c r="S120" s="24" t="str">
        <f t="shared" si="43"/>
        <v/>
      </c>
      <c r="T120" s="24" t="str">
        <f t="shared" si="43"/>
        <v/>
      </c>
      <c r="U120" s="24" t="str">
        <f t="shared" si="44"/>
        <v/>
      </c>
      <c r="V120" s="24" t="str">
        <f t="shared" si="44"/>
        <v/>
      </c>
      <c r="W120" s="24" t="str">
        <f t="shared" si="44"/>
        <v/>
      </c>
      <c r="X120" s="24" t="str">
        <f t="shared" si="44"/>
        <v/>
      </c>
      <c r="Y120" s="24" t="str">
        <f t="shared" si="44"/>
        <v/>
      </c>
      <c r="Z120" s="24" t="str">
        <f t="shared" si="44"/>
        <v/>
      </c>
      <c r="AA120" s="24" t="str">
        <f t="shared" si="44"/>
        <v/>
      </c>
      <c r="AB120" s="24" t="str">
        <f t="shared" si="44"/>
        <v/>
      </c>
      <c r="AC120" s="24" t="str">
        <f t="shared" si="44"/>
        <v/>
      </c>
      <c r="AD120" s="24" t="str">
        <f t="shared" si="44"/>
        <v/>
      </c>
      <c r="AE120" s="24" t="str">
        <f t="shared" si="45"/>
        <v/>
      </c>
      <c r="AF120" s="24" t="str">
        <f t="shared" si="45"/>
        <v/>
      </c>
      <c r="AG120" s="24" t="str">
        <f t="shared" si="45"/>
        <v/>
      </c>
      <c r="AH120" s="24" t="str">
        <f t="shared" si="45"/>
        <v/>
      </c>
      <c r="AI120" s="24" t="str">
        <f t="shared" si="45"/>
        <v/>
      </c>
      <c r="AJ120" s="24" t="str">
        <f t="shared" si="45"/>
        <v/>
      </c>
      <c r="AK120" s="24" t="str">
        <f t="shared" si="45"/>
        <v/>
      </c>
      <c r="AL120" s="24" t="str">
        <f t="shared" si="45"/>
        <v/>
      </c>
      <c r="AM120" s="24" t="str">
        <f t="shared" si="45"/>
        <v/>
      </c>
      <c r="AN120" s="24" t="str">
        <f t="shared" si="45"/>
        <v/>
      </c>
      <c r="AO120" t="str">
        <f>IF($C120="Phase",IF($AR120=0,"",IF(COUNT(E121:INDEX(E$6:E$156,115+$AR120))=0,"",MIN(E121:INDEX(E$6:E$156,115+$AR120)))),IF($E120="","",$E120))</f>
        <v/>
      </c>
      <c r="AP120" t="str">
        <f>IF($C120="Phase",IF($AO120="","",MAX(G121:INDEX(G$6:G$156,115+$AR120))),IF($G120="","",$G120))</f>
        <v/>
      </c>
      <c r="AQ120">
        <f>IF($C120="Phase",IF($AR120=0,0,IF(SUM(F121:INDEX(F$6:F$156,115+$AR120))=0,0,SUMPRODUCT(F121:INDEX(F$6:F$156,115+$AR120),H121:INDEX(H$6:H$156,115+$AR120))/SUM(F121:INDEX(F$6:F$156,115+$AR120)))),N($H120))</f>
        <v>0</v>
      </c>
      <c r="AR120">
        <f>IF($C120&lt;&gt;"Phase",0,IFERROR(MATCH("Phase",$C121:$C$156,0)-1,35))</f>
        <v>0</v>
      </c>
      <c r="AS120" t="str">
        <f t="shared" si="39"/>
        <v/>
      </c>
    </row>
    <row r="121" spans="1:45" x14ac:dyDescent="0.3">
      <c r="A121" s="19"/>
      <c r="B121" s="19"/>
      <c r="C121" s="19"/>
      <c r="D121" s="19"/>
      <c r="E121" s="20"/>
      <c r="F121" s="19"/>
      <c r="G121" s="21" t="str">
        <f>IF($C121="Phase",$AP121,IF(OR($E121="",$F121=""),"",IF(N($F121)&lt;=0,$E121,WORKDAY.INTL($E121,$F121-1,Settings!$B$9,Holidays!$A$4:$A$103))))</f>
        <v/>
      </c>
      <c r="H121" s="22"/>
      <c r="I121" s="23" t="str">
        <f t="shared" ca="1" si="38"/>
        <v/>
      </c>
      <c r="J121" s="19"/>
      <c r="K121" s="24" t="str">
        <f t="shared" si="43"/>
        <v/>
      </c>
      <c r="L121" s="24" t="str">
        <f t="shared" si="43"/>
        <v/>
      </c>
      <c r="M121" s="24" t="str">
        <f t="shared" si="43"/>
        <v/>
      </c>
      <c r="N121" s="24" t="str">
        <f t="shared" si="43"/>
        <v/>
      </c>
      <c r="O121" s="24" t="str">
        <f t="shared" si="43"/>
        <v/>
      </c>
      <c r="P121" s="24" t="str">
        <f t="shared" si="43"/>
        <v/>
      </c>
      <c r="Q121" s="24" t="str">
        <f t="shared" si="43"/>
        <v/>
      </c>
      <c r="R121" s="24" t="str">
        <f t="shared" si="43"/>
        <v/>
      </c>
      <c r="S121" s="24" t="str">
        <f t="shared" si="43"/>
        <v/>
      </c>
      <c r="T121" s="24" t="str">
        <f t="shared" si="43"/>
        <v/>
      </c>
      <c r="U121" s="24" t="str">
        <f t="shared" si="44"/>
        <v/>
      </c>
      <c r="V121" s="24" t="str">
        <f t="shared" si="44"/>
        <v/>
      </c>
      <c r="W121" s="24" t="str">
        <f t="shared" si="44"/>
        <v/>
      </c>
      <c r="X121" s="24" t="str">
        <f t="shared" si="44"/>
        <v/>
      </c>
      <c r="Y121" s="24" t="str">
        <f t="shared" si="44"/>
        <v/>
      </c>
      <c r="Z121" s="24" t="str">
        <f t="shared" si="44"/>
        <v/>
      </c>
      <c r="AA121" s="24" t="str">
        <f t="shared" si="44"/>
        <v/>
      </c>
      <c r="AB121" s="24" t="str">
        <f t="shared" si="44"/>
        <v/>
      </c>
      <c r="AC121" s="24" t="str">
        <f t="shared" si="44"/>
        <v/>
      </c>
      <c r="AD121" s="24" t="str">
        <f t="shared" si="44"/>
        <v/>
      </c>
      <c r="AE121" s="24" t="str">
        <f t="shared" si="45"/>
        <v/>
      </c>
      <c r="AF121" s="24" t="str">
        <f t="shared" si="45"/>
        <v/>
      </c>
      <c r="AG121" s="24" t="str">
        <f t="shared" si="45"/>
        <v/>
      </c>
      <c r="AH121" s="24" t="str">
        <f t="shared" si="45"/>
        <v/>
      </c>
      <c r="AI121" s="24" t="str">
        <f t="shared" si="45"/>
        <v/>
      </c>
      <c r="AJ121" s="24" t="str">
        <f t="shared" si="45"/>
        <v/>
      </c>
      <c r="AK121" s="24" t="str">
        <f t="shared" si="45"/>
        <v/>
      </c>
      <c r="AL121" s="24" t="str">
        <f t="shared" si="45"/>
        <v/>
      </c>
      <c r="AM121" s="24" t="str">
        <f t="shared" si="45"/>
        <v/>
      </c>
      <c r="AN121" s="24" t="str">
        <f t="shared" si="45"/>
        <v/>
      </c>
      <c r="AO121" t="str">
        <f>IF($C121="Phase",IF($AR121=0,"",IF(COUNT(E122:INDEX(E$6:E$156,116+$AR121))=0,"",MIN(E122:INDEX(E$6:E$156,116+$AR121)))),IF($E121="","",$E121))</f>
        <v/>
      </c>
      <c r="AP121" t="str">
        <f>IF($C121="Phase",IF($AO121="","",MAX(G122:INDEX(G$6:G$156,116+$AR121))),IF($G121="","",$G121))</f>
        <v/>
      </c>
      <c r="AQ121">
        <f>IF($C121="Phase",IF($AR121=0,0,IF(SUM(F122:INDEX(F$6:F$156,116+$AR121))=0,0,SUMPRODUCT(F122:INDEX(F$6:F$156,116+$AR121),H122:INDEX(H$6:H$156,116+$AR121))/SUM(F122:INDEX(F$6:F$156,116+$AR121)))),N($H121))</f>
        <v>0</v>
      </c>
      <c r="AR121">
        <f>IF($C121&lt;&gt;"Phase",0,IFERROR(MATCH("Phase",$C122:$C$156,0)-1,34))</f>
        <v>0</v>
      </c>
      <c r="AS121" t="str">
        <f t="shared" si="39"/>
        <v/>
      </c>
    </row>
    <row r="122" spans="1:45" x14ac:dyDescent="0.3">
      <c r="A122" s="19"/>
      <c r="B122" s="19"/>
      <c r="C122" s="19"/>
      <c r="D122" s="19"/>
      <c r="E122" s="20"/>
      <c r="F122" s="19"/>
      <c r="G122" s="21" t="str">
        <f>IF($C122="Phase",$AP122,IF(OR($E122="",$F122=""),"",IF(N($F122)&lt;=0,$E122,WORKDAY.INTL($E122,$F122-1,Settings!$B$9,Holidays!$A$4:$A$103))))</f>
        <v/>
      </c>
      <c r="H122" s="22"/>
      <c r="I122" s="23" t="str">
        <f t="shared" ca="1" si="38"/>
        <v/>
      </c>
      <c r="J122" s="19"/>
      <c r="K122" s="24" t="str">
        <f t="shared" si="43"/>
        <v/>
      </c>
      <c r="L122" s="24" t="str">
        <f t="shared" si="43"/>
        <v/>
      </c>
      <c r="M122" s="24" t="str">
        <f t="shared" si="43"/>
        <v/>
      </c>
      <c r="N122" s="24" t="str">
        <f t="shared" si="43"/>
        <v/>
      </c>
      <c r="O122" s="24" t="str">
        <f t="shared" si="43"/>
        <v/>
      </c>
      <c r="P122" s="24" t="str">
        <f t="shared" si="43"/>
        <v/>
      </c>
      <c r="Q122" s="24" t="str">
        <f t="shared" si="43"/>
        <v/>
      </c>
      <c r="R122" s="24" t="str">
        <f t="shared" si="43"/>
        <v/>
      </c>
      <c r="S122" s="24" t="str">
        <f t="shared" si="43"/>
        <v/>
      </c>
      <c r="T122" s="24" t="str">
        <f t="shared" si="43"/>
        <v/>
      </c>
      <c r="U122" s="24" t="str">
        <f t="shared" si="44"/>
        <v/>
      </c>
      <c r="V122" s="24" t="str">
        <f t="shared" si="44"/>
        <v/>
      </c>
      <c r="W122" s="24" t="str">
        <f t="shared" si="44"/>
        <v/>
      </c>
      <c r="X122" s="24" t="str">
        <f t="shared" si="44"/>
        <v/>
      </c>
      <c r="Y122" s="24" t="str">
        <f t="shared" si="44"/>
        <v/>
      </c>
      <c r="Z122" s="24" t="str">
        <f t="shared" si="44"/>
        <v/>
      </c>
      <c r="AA122" s="24" t="str">
        <f t="shared" si="44"/>
        <v/>
      </c>
      <c r="AB122" s="24" t="str">
        <f t="shared" si="44"/>
        <v/>
      </c>
      <c r="AC122" s="24" t="str">
        <f t="shared" si="44"/>
        <v/>
      </c>
      <c r="AD122" s="24" t="str">
        <f t="shared" si="44"/>
        <v/>
      </c>
      <c r="AE122" s="24" t="str">
        <f t="shared" si="45"/>
        <v/>
      </c>
      <c r="AF122" s="24" t="str">
        <f t="shared" si="45"/>
        <v/>
      </c>
      <c r="AG122" s="24" t="str">
        <f t="shared" si="45"/>
        <v/>
      </c>
      <c r="AH122" s="24" t="str">
        <f t="shared" si="45"/>
        <v/>
      </c>
      <c r="AI122" s="24" t="str">
        <f t="shared" si="45"/>
        <v/>
      </c>
      <c r="AJ122" s="24" t="str">
        <f t="shared" si="45"/>
        <v/>
      </c>
      <c r="AK122" s="24" t="str">
        <f t="shared" si="45"/>
        <v/>
      </c>
      <c r="AL122" s="24" t="str">
        <f t="shared" si="45"/>
        <v/>
      </c>
      <c r="AM122" s="24" t="str">
        <f t="shared" si="45"/>
        <v/>
      </c>
      <c r="AN122" s="24" t="str">
        <f t="shared" si="45"/>
        <v/>
      </c>
      <c r="AO122" t="str">
        <f>IF($C122="Phase",IF($AR122=0,"",IF(COUNT(E123:INDEX(E$6:E$156,117+$AR122))=0,"",MIN(E123:INDEX(E$6:E$156,117+$AR122)))),IF($E122="","",$E122))</f>
        <v/>
      </c>
      <c r="AP122" t="str">
        <f>IF($C122="Phase",IF($AO122="","",MAX(G123:INDEX(G$6:G$156,117+$AR122))),IF($G122="","",$G122))</f>
        <v/>
      </c>
      <c r="AQ122">
        <f>IF($C122="Phase",IF($AR122=0,0,IF(SUM(F123:INDEX(F$6:F$156,117+$AR122))=0,0,SUMPRODUCT(F123:INDEX(F$6:F$156,117+$AR122),H123:INDEX(H$6:H$156,117+$AR122))/SUM(F123:INDEX(F$6:F$156,117+$AR122)))),N($H122))</f>
        <v>0</v>
      </c>
      <c r="AR122">
        <f>IF($C122&lt;&gt;"Phase",0,IFERROR(MATCH("Phase",$C123:$C$156,0)-1,33))</f>
        <v>0</v>
      </c>
      <c r="AS122" t="str">
        <f t="shared" si="39"/>
        <v/>
      </c>
    </row>
    <row r="123" spans="1:45" x14ac:dyDescent="0.3">
      <c r="A123" s="19"/>
      <c r="B123" s="19"/>
      <c r="C123" s="19"/>
      <c r="D123" s="19"/>
      <c r="E123" s="20"/>
      <c r="F123" s="19"/>
      <c r="G123" s="21" t="str">
        <f>IF($C123="Phase",$AP123,IF(OR($E123="",$F123=""),"",IF(N($F123)&lt;=0,$E123,WORKDAY.INTL($E123,$F123-1,Settings!$B$9,Holidays!$A$4:$A$103))))</f>
        <v/>
      </c>
      <c r="H123" s="22"/>
      <c r="I123" s="23" t="str">
        <f t="shared" ca="1" si="38"/>
        <v/>
      </c>
      <c r="J123" s="19"/>
      <c r="K123" s="24" t="str">
        <f t="shared" si="43"/>
        <v/>
      </c>
      <c r="L123" s="24" t="str">
        <f t="shared" si="43"/>
        <v/>
      </c>
      <c r="M123" s="24" t="str">
        <f t="shared" si="43"/>
        <v/>
      </c>
      <c r="N123" s="24" t="str">
        <f t="shared" si="43"/>
        <v/>
      </c>
      <c r="O123" s="24" t="str">
        <f t="shared" si="43"/>
        <v/>
      </c>
      <c r="P123" s="24" t="str">
        <f t="shared" si="43"/>
        <v/>
      </c>
      <c r="Q123" s="24" t="str">
        <f t="shared" si="43"/>
        <v/>
      </c>
      <c r="R123" s="24" t="str">
        <f t="shared" si="43"/>
        <v/>
      </c>
      <c r="S123" s="24" t="str">
        <f t="shared" si="43"/>
        <v/>
      </c>
      <c r="T123" s="24" t="str">
        <f t="shared" si="43"/>
        <v/>
      </c>
      <c r="U123" s="24" t="str">
        <f t="shared" si="44"/>
        <v/>
      </c>
      <c r="V123" s="24" t="str">
        <f t="shared" si="44"/>
        <v/>
      </c>
      <c r="W123" s="24" t="str">
        <f t="shared" si="44"/>
        <v/>
      </c>
      <c r="X123" s="24" t="str">
        <f t="shared" si="44"/>
        <v/>
      </c>
      <c r="Y123" s="24" t="str">
        <f t="shared" si="44"/>
        <v/>
      </c>
      <c r="Z123" s="24" t="str">
        <f t="shared" si="44"/>
        <v/>
      </c>
      <c r="AA123" s="24" t="str">
        <f t="shared" si="44"/>
        <v/>
      </c>
      <c r="AB123" s="24" t="str">
        <f t="shared" si="44"/>
        <v/>
      </c>
      <c r="AC123" s="24" t="str">
        <f t="shared" si="44"/>
        <v/>
      </c>
      <c r="AD123" s="24" t="str">
        <f t="shared" si="44"/>
        <v/>
      </c>
      <c r="AE123" s="24" t="str">
        <f t="shared" si="45"/>
        <v/>
      </c>
      <c r="AF123" s="24" t="str">
        <f t="shared" si="45"/>
        <v/>
      </c>
      <c r="AG123" s="24" t="str">
        <f t="shared" si="45"/>
        <v/>
      </c>
      <c r="AH123" s="24" t="str">
        <f t="shared" si="45"/>
        <v/>
      </c>
      <c r="AI123" s="24" t="str">
        <f t="shared" si="45"/>
        <v/>
      </c>
      <c r="AJ123" s="24" t="str">
        <f t="shared" si="45"/>
        <v/>
      </c>
      <c r="AK123" s="24" t="str">
        <f t="shared" si="45"/>
        <v/>
      </c>
      <c r="AL123" s="24" t="str">
        <f t="shared" si="45"/>
        <v/>
      </c>
      <c r="AM123" s="24" t="str">
        <f t="shared" si="45"/>
        <v/>
      </c>
      <c r="AN123" s="24" t="str">
        <f t="shared" si="45"/>
        <v/>
      </c>
      <c r="AO123" t="str">
        <f>IF($C123="Phase",IF($AR123=0,"",IF(COUNT(E124:INDEX(E$6:E$156,118+$AR123))=0,"",MIN(E124:INDEX(E$6:E$156,118+$AR123)))),IF($E123="","",$E123))</f>
        <v/>
      </c>
      <c r="AP123" t="str">
        <f>IF($C123="Phase",IF($AO123="","",MAX(G124:INDEX(G$6:G$156,118+$AR123))),IF($G123="","",$G123))</f>
        <v/>
      </c>
      <c r="AQ123">
        <f>IF($C123="Phase",IF($AR123=0,0,IF(SUM(F124:INDEX(F$6:F$156,118+$AR123))=0,0,SUMPRODUCT(F124:INDEX(F$6:F$156,118+$AR123),H124:INDEX(H$6:H$156,118+$AR123))/SUM(F124:INDEX(F$6:F$156,118+$AR123)))),N($H123))</f>
        <v>0</v>
      </c>
      <c r="AR123">
        <f>IF($C123&lt;&gt;"Phase",0,IFERROR(MATCH("Phase",$C124:$C$156,0)-1,32))</f>
        <v>0</v>
      </c>
      <c r="AS123" t="str">
        <f t="shared" si="39"/>
        <v/>
      </c>
    </row>
    <row r="124" spans="1:45" x14ac:dyDescent="0.3">
      <c r="A124" s="19"/>
      <c r="B124" s="19"/>
      <c r="C124" s="19"/>
      <c r="D124" s="19"/>
      <c r="E124" s="20"/>
      <c r="F124" s="19"/>
      <c r="G124" s="21" t="str">
        <f>IF($C124="Phase",$AP124,IF(OR($E124="",$F124=""),"",IF(N($F124)&lt;=0,$E124,WORKDAY.INTL($E124,$F124-1,Settings!$B$9,Holidays!$A$4:$A$103))))</f>
        <v/>
      </c>
      <c r="H124" s="22"/>
      <c r="I124" s="23" t="str">
        <f t="shared" ca="1" si="38"/>
        <v/>
      </c>
      <c r="J124" s="19"/>
      <c r="K124" s="24" t="str">
        <f t="shared" si="43"/>
        <v/>
      </c>
      <c r="L124" s="24" t="str">
        <f t="shared" si="43"/>
        <v/>
      </c>
      <c r="M124" s="24" t="str">
        <f t="shared" si="43"/>
        <v/>
      </c>
      <c r="N124" s="24" t="str">
        <f t="shared" si="43"/>
        <v/>
      </c>
      <c r="O124" s="24" t="str">
        <f t="shared" si="43"/>
        <v/>
      </c>
      <c r="P124" s="24" t="str">
        <f t="shared" si="43"/>
        <v/>
      </c>
      <c r="Q124" s="24" t="str">
        <f t="shared" si="43"/>
        <v/>
      </c>
      <c r="R124" s="24" t="str">
        <f t="shared" si="43"/>
        <v/>
      </c>
      <c r="S124" s="24" t="str">
        <f t="shared" si="43"/>
        <v/>
      </c>
      <c r="T124" s="24" t="str">
        <f t="shared" si="43"/>
        <v/>
      </c>
      <c r="U124" s="24" t="str">
        <f t="shared" si="44"/>
        <v/>
      </c>
      <c r="V124" s="24" t="str">
        <f t="shared" si="44"/>
        <v/>
      </c>
      <c r="W124" s="24" t="str">
        <f t="shared" si="44"/>
        <v/>
      </c>
      <c r="X124" s="24" t="str">
        <f t="shared" si="44"/>
        <v/>
      </c>
      <c r="Y124" s="24" t="str">
        <f t="shared" si="44"/>
        <v/>
      </c>
      <c r="Z124" s="24" t="str">
        <f t="shared" si="44"/>
        <v/>
      </c>
      <c r="AA124" s="24" t="str">
        <f t="shared" si="44"/>
        <v/>
      </c>
      <c r="AB124" s="24" t="str">
        <f t="shared" si="44"/>
        <v/>
      </c>
      <c r="AC124" s="24" t="str">
        <f t="shared" si="44"/>
        <v/>
      </c>
      <c r="AD124" s="24" t="str">
        <f t="shared" si="44"/>
        <v/>
      </c>
      <c r="AE124" s="24" t="str">
        <f t="shared" si="45"/>
        <v/>
      </c>
      <c r="AF124" s="24" t="str">
        <f t="shared" si="45"/>
        <v/>
      </c>
      <c r="AG124" s="24" t="str">
        <f t="shared" si="45"/>
        <v/>
      </c>
      <c r="AH124" s="24" t="str">
        <f t="shared" si="45"/>
        <v/>
      </c>
      <c r="AI124" s="24" t="str">
        <f t="shared" si="45"/>
        <v/>
      </c>
      <c r="AJ124" s="24" t="str">
        <f t="shared" si="45"/>
        <v/>
      </c>
      <c r="AK124" s="24" t="str">
        <f t="shared" si="45"/>
        <v/>
      </c>
      <c r="AL124" s="24" t="str">
        <f t="shared" si="45"/>
        <v/>
      </c>
      <c r="AM124" s="24" t="str">
        <f t="shared" si="45"/>
        <v/>
      </c>
      <c r="AN124" s="24" t="str">
        <f t="shared" si="45"/>
        <v/>
      </c>
      <c r="AO124" t="str">
        <f>IF($C124="Phase",IF($AR124=0,"",IF(COUNT(E125:INDEX(E$6:E$156,119+$AR124))=0,"",MIN(E125:INDEX(E$6:E$156,119+$AR124)))),IF($E124="","",$E124))</f>
        <v/>
      </c>
      <c r="AP124" t="str">
        <f>IF($C124="Phase",IF($AO124="","",MAX(G125:INDEX(G$6:G$156,119+$AR124))),IF($G124="","",$G124))</f>
        <v/>
      </c>
      <c r="AQ124">
        <f>IF($C124="Phase",IF($AR124=0,0,IF(SUM(F125:INDEX(F$6:F$156,119+$AR124))=0,0,SUMPRODUCT(F125:INDEX(F$6:F$156,119+$AR124),H125:INDEX(H$6:H$156,119+$AR124))/SUM(F125:INDEX(F$6:F$156,119+$AR124)))),N($H124))</f>
        <v>0</v>
      </c>
      <c r="AR124">
        <f>IF($C124&lt;&gt;"Phase",0,IFERROR(MATCH("Phase",$C125:$C$156,0)-1,31))</f>
        <v>0</v>
      </c>
      <c r="AS124" t="str">
        <f t="shared" si="39"/>
        <v/>
      </c>
    </row>
    <row r="125" spans="1:45" x14ac:dyDescent="0.3">
      <c r="A125" s="19"/>
      <c r="B125" s="19"/>
      <c r="C125" s="19"/>
      <c r="D125" s="19"/>
      <c r="E125" s="20"/>
      <c r="F125" s="19"/>
      <c r="G125" s="21" t="str">
        <f>IF($C125="Phase",$AP125,IF(OR($E125="",$F125=""),"",IF(N($F125)&lt;=0,$E125,WORKDAY.INTL($E125,$F125-1,Settings!$B$9,Holidays!$A$4:$A$103))))</f>
        <v/>
      </c>
      <c r="H125" s="22"/>
      <c r="I125" s="23" t="str">
        <f t="shared" ca="1" si="38"/>
        <v/>
      </c>
      <c r="J125" s="19"/>
      <c r="K125" s="24" t="str">
        <f t="shared" si="43"/>
        <v/>
      </c>
      <c r="L125" s="24" t="str">
        <f t="shared" si="43"/>
        <v/>
      </c>
      <c r="M125" s="24" t="str">
        <f t="shared" si="43"/>
        <v/>
      </c>
      <c r="N125" s="24" t="str">
        <f t="shared" si="43"/>
        <v/>
      </c>
      <c r="O125" s="24" t="str">
        <f t="shared" si="43"/>
        <v/>
      </c>
      <c r="P125" s="24" t="str">
        <f t="shared" si="43"/>
        <v/>
      </c>
      <c r="Q125" s="24" t="str">
        <f t="shared" si="43"/>
        <v/>
      </c>
      <c r="R125" s="24" t="str">
        <f t="shared" si="43"/>
        <v/>
      </c>
      <c r="S125" s="24" t="str">
        <f t="shared" si="43"/>
        <v/>
      </c>
      <c r="T125" s="24" t="str">
        <f t="shared" si="43"/>
        <v/>
      </c>
      <c r="U125" s="24" t="str">
        <f t="shared" si="44"/>
        <v/>
      </c>
      <c r="V125" s="24" t="str">
        <f t="shared" si="44"/>
        <v/>
      </c>
      <c r="W125" s="24" t="str">
        <f t="shared" si="44"/>
        <v/>
      </c>
      <c r="X125" s="24" t="str">
        <f t="shared" si="44"/>
        <v/>
      </c>
      <c r="Y125" s="24" t="str">
        <f t="shared" si="44"/>
        <v/>
      </c>
      <c r="Z125" s="24" t="str">
        <f t="shared" si="44"/>
        <v/>
      </c>
      <c r="AA125" s="24" t="str">
        <f t="shared" si="44"/>
        <v/>
      </c>
      <c r="AB125" s="24" t="str">
        <f t="shared" si="44"/>
        <v/>
      </c>
      <c r="AC125" s="24" t="str">
        <f t="shared" si="44"/>
        <v/>
      </c>
      <c r="AD125" s="24" t="str">
        <f t="shared" si="44"/>
        <v/>
      </c>
      <c r="AE125" s="24" t="str">
        <f t="shared" si="45"/>
        <v/>
      </c>
      <c r="AF125" s="24" t="str">
        <f t="shared" si="45"/>
        <v/>
      </c>
      <c r="AG125" s="24" t="str">
        <f t="shared" si="45"/>
        <v/>
      </c>
      <c r="AH125" s="24" t="str">
        <f t="shared" si="45"/>
        <v/>
      </c>
      <c r="AI125" s="24" t="str">
        <f t="shared" si="45"/>
        <v/>
      </c>
      <c r="AJ125" s="24" t="str">
        <f t="shared" si="45"/>
        <v/>
      </c>
      <c r="AK125" s="24" t="str">
        <f t="shared" si="45"/>
        <v/>
      </c>
      <c r="AL125" s="24" t="str">
        <f t="shared" si="45"/>
        <v/>
      </c>
      <c r="AM125" s="24" t="str">
        <f t="shared" si="45"/>
        <v/>
      </c>
      <c r="AN125" s="24" t="str">
        <f t="shared" si="45"/>
        <v/>
      </c>
      <c r="AO125" t="str">
        <f>IF($C125="Phase",IF($AR125=0,"",IF(COUNT(E126:INDEX(E$6:E$156,120+$AR125))=0,"",MIN(E126:INDEX(E$6:E$156,120+$AR125)))),IF($E125="","",$E125))</f>
        <v/>
      </c>
      <c r="AP125" t="str">
        <f>IF($C125="Phase",IF($AO125="","",MAX(G126:INDEX(G$6:G$156,120+$AR125))),IF($G125="","",$G125))</f>
        <v/>
      </c>
      <c r="AQ125">
        <f>IF($C125="Phase",IF($AR125=0,0,IF(SUM(F126:INDEX(F$6:F$156,120+$AR125))=0,0,SUMPRODUCT(F126:INDEX(F$6:F$156,120+$AR125),H126:INDEX(H$6:H$156,120+$AR125))/SUM(F126:INDEX(F$6:F$156,120+$AR125)))),N($H125))</f>
        <v>0</v>
      </c>
      <c r="AR125">
        <f>IF($C125&lt;&gt;"Phase",0,IFERROR(MATCH("Phase",$C126:$C$156,0)-1,30))</f>
        <v>0</v>
      </c>
      <c r="AS125" t="str">
        <f t="shared" si="39"/>
        <v/>
      </c>
    </row>
    <row r="126" spans="1:45" x14ac:dyDescent="0.3">
      <c r="A126" s="19"/>
      <c r="B126" s="19"/>
      <c r="C126" s="19"/>
      <c r="D126" s="19"/>
      <c r="E126" s="20"/>
      <c r="F126" s="19"/>
      <c r="G126" s="21" t="str">
        <f>IF($C126="Phase",$AP126,IF(OR($E126="",$F126=""),"",IF(N($F126)&lt;=0,$E126,WORKDAY.INTL($E126,$F126-1,Settings!$B$9,Holidays!$A$4:$A$103))))</f>
        <v/>
      </c>
      <c r="H126" s="22"/>
      <c r="I126" s="23" t="str">
        <f t="shared" ca="1" si="38"/>
        <v/>
      </c>
      <c r="J126" s="19"/>
      <c r="K126" s="24" t="str">
        <f t="shared" ref="K126:T135" si="46">IF(AND($C126="Milestone",$AP126&lt;&gt;""),IF(AND($AP126&gt;=K$5,$AP126&lt;K$5+$AO$3),"◆",""),"")</f>
        <v/>
      </c>
      <c r="L126" s="24" t="str">
        <f t="shared" si="46"/>
        <v/>
      </c>
      <c r="M126" s="24" t="str">
        <f t="shared" si="46"/>
        <v/>
      </c>
      <c r="N126" s="24" t="str">
        <f t="shared" si="46"/>
        <v/>
      </c>
      <c r="O126" s="24" t="str">
        <f t="shared" si="46"/>
        <v/>
      </c>
      <c r="P126" s="24" t="str">
        <f t="shared" si="46"/>
        <v/>
      </c>
      <c r="Q126" s="24" t="str">
        <f t="shared" si="46"/>
        <v/>
      </c>
      <c r="R126" s="24" t="str">
        <f t="shared" si="46"/>
        <v/>
      </c>
      <c r="S126" s="24" t="str">
        <f t="shared" si="46"/>
        <v/>
      </c>
      <c r="T126" s="24" t="str">
        <f t="shared" si="46"/>
        <v/>
      </c>
      <c r="U126" s="24" t="str">
        <f t="shared" ref="U126:AD135" si="47">IF(AND($C126="Milestone",$AP126&lt;&gt;""),IF(AND($AP126&gt;=U$5,$AP126&lt;U$5+$AO$3),"◆",""),"")</f>
        <v/>
      </c>
      <c r="V126" s="24" t="str">
        <f t="shared" si="47"/>
        <v/>
      </c>
      <c r="W126" s="24" t="str">
        <f t="shared" si="47"/>
        <v/>
      </c>
      <c r="X126" s="24" t="str">
        <f t="shared" si="47"/>
        <v/>
      </c>
      <c r="Y126" s="24" t="str">
        <f t="shared" si="47"/>
        <v/>
      </c>
      <c r="Z126" s="24" t="str">
        <f t="shared" si="47"/>
        <v/>
      </c>
      <c r="AA126" s="24" t="str">
        <f t="shared" si="47"/>
        <v/>
      </c>
      <c r="AB126" s="24" t="str">
        <f t="shared" si="47"/>
        <v/>
      </c>
      <c r="AC126" s="24" t="str">
        <f t="shared" si="47"/>
        <v/>
      </c>
      <c r="AD126" s="24" t="str">
        <f t="shared" si="47"/>
        <v/>
      </c>
      <c r="AE126" s="24" t="str">
        <f t="shared" ref="AE126:AN135" si="48">IF(AND($C126="Milestone",$AP126&lt;&gt;""),IF(AND($AP126&gt;=AE$5,$AP126&lt;AE$5+$AO$3),"◆",""),"")</f>
        <v/>
      </c>
      <c r="AF126" s="24" t="str">
        <f t="shared" si="48"/>
        <v/>
      </c>
      <c r="AG126" s="24" t="str">
        <f t="shared" si="48"/>
        <v/>
      </c>
      <c r="AH126" s="24" t="str">
        <f t="shared" si="48"/>
        <v/>
      </c>
      <c r="AI126" s="24" t="str">
        <f t="shared" si="48"/>
        <v/>
      </c>
      <c r="AJ126" s="24" t="str">
        <f t="shared" si="48"/>
        <v/>
      </c>
      <c r="AK126" s="24" t="str">
        <f t="shared" si="48"/>
        <v/>
      </c>
      <c r="AL126" s="24" t="str">
        <f t="shared" si="48"/>
        <v/>
      </c>
      <c r="AM126" s="24" t="str">
        <f t="shared" si="48"/>
        <v/>
      </c>
      <c r="AN126" s="24" t="str">
        <f t="shared" si="48"/>
        <v/>
      </c>
      <c r="AO126" t="str">
        <f>IF($C126="Phase",IF($AR126=0,"",IF(COUNT(E127:INDEX(E$6:E$156,121+$AR126))=0,"",MIN(E127:INDEX(E$6:E$156,121+$AR126)))),IF($E126="","",$E126))</f>
        <v/>
      </c>
      <c r="AP126" t="str">
        <f>IF($C126="Phase",IF($AO126="","",MAX(G127:INDEX(G$6:G$156,121+$AR126))),IF($G126="","",$G126))</f>
        <v/>
      </c>
      <c r="AQ126">
        <f>IF($C126="Phase",IF($AR126=0,0,IF(SUM(F127:INDEX(F$6:F$156,121+$AR126))=0,0,SUMPRODUCT(F127:INDEX(F$6:F$156,121+$AR126),H127:INDEX(H$6:H$156,121+$AR126))/SUM(F127:INDEX(F$6:F$156,121+$AR126)))),N($H126))</f>
        <v>0</v>
      </c>
      <c r="AR126">
        <f>IF($C126&lt;&gt;"Phase",0,IFERROR(MATCH("Phase",$C127:$C$156,0)-1,29))</f>
        <v>0</v>
      </c>
      <c r="AS126" t="str">
        <f t="shared" si="39"/>
        <v/>
      </c>
    </row>
    <row r="127" spans="1:45" x14ac:dyDescent="0.3">
      <c r="A127" s="19"/>
      <c r="B127" s="19"/>
      <c r="C127" s="19"/>
      <c r="D127" s="19"/>
      <c r="E127" s="20"/>
      <c r="F127" s="19"/>
      <c r="G127" s="21" t="str">
        <f>IF($C127="Phase",$AP127,IF(OR($E127="",$F127=""),"",IF(N($F127)&lt;=0,$E127,WORKDAY.INTL($E127,$F127-1,Settings!$B$9,Holidays!$A$4:$A$103))))</f>
        <v/>
      </c>
      <c r="H127" s="22"/>
      <c r="I127" s="23" t="str">
        <f t="shared" ca="1" si="38"/>
        <v/>
      </c>
      <c r="J127" s="19"/>
      <c r="K127" s="24" t="str">
        <f t="shared" si="46"/>
        <v/>
      </c>
      <c r="L127" s="24" t="str">
        <f t="shared" si="46"/>
        <v/>
      </c>
      <c r="M127" s="24" t="str">
        <f t="shared" si="46"/>
        <v/>
      </c>
      <c r="N127" s="24" t="str">
        <f t="shared" si="46"/>
        <v/>
      </c>
      <c r="O127" s="24" t="str">
        <f t="shared" si="46"/>
        <v/>
      </c>
      <c r="P127" s="24" t="str">
        <f t="shared" si="46"/>
        <v/>
      </c>
      <c r="Q127" s="24" t="str">
        <f t="shared" si="46"/>
        <v/>
      </c>
      <c r="R127" s="24" t="str">
        <f t="shared" si="46"/>
        <v/>
      </c>
      <c r="S127" s="24" t="str">
        <f t="shared" si="46"/>
        <v/>
      </c>
      <c r="T127" s="24" t="str">
        <f t="shared" si="46"/>
        <v/>
      </c>
      <c r="U127" s="24" t="str">
        <f t="shared" si="47"/>
        <v/>
      </c>
      <c r="V127" s="24" t="str">
        <f t="shared" si="47"/>
        <v/>
      </c>
      <c r="W127" s="24" t="str">
        <f t="shared" si="47"/>
        <v/>
      </c>
      <c r="X127" s="24" t="str">
        <f t="shared" si="47"/>
        <v/>
      </c>
      <c r="Y127" s="24" t="str">
        <f t="shared" si="47"/>
        <v/>
      </c>
      <c r="Z127" s="24" t="str">
        <f t="shared" si="47"/>
        <v/>
      </c>
      <c r="AA127" s="24" t="str">
        <f t="shared" si="47"/>
        <v/>
      </c>
      <c r="AB127" s="24" t="str">
        <f t="shared" si="47"/>
        <v/>
      </c>
      <c r="AC127" s="24" t="str">
        <f t="shared" si="47"/>
        <v/>
      </c>
      <c r="AD127" s="24" t="str">
        <f t="shared" si="47"/>
        <v/>
      </c>
      <c r="AE127" s="24" t="str">
        <f t="shared" si="48"/>
        <v/>
      </c>
      <c r="AF127" s="24" t="str">
        <f t="shared" si="48"/>
        <v/>
      </c>
      <c r="AG127" s="24" t="str">
        <f t="shared" si="48"/>
        <v/>
      </c>
      <c r="AH127" s="24" t="str">
        <f t="shared" si="48"/>
        <v/>
      </c>
      <c r="AI127" s="24" t="str">
        <f t="shared" si="48"/>
        <v/>
      </c>
      <c r="AJ127" s="24" t="str">
        <f t="shared" si="48"/>
        <v/>
      </c>
      <c r="AK127" s="24" t="str">
        <f t="shared" si="48"/>
        <v/>
      </c>
      <c r="AL127" s="24" t="str">
        <f t="shared" si="48"/>
        <v/>
      </c>
      <c r="AM127" s="24" t="str">
        <f t="shared" si="48"/>
        <v/>
      </c>
      <c r="AN127" s="24" t="str">
        <f t="shared" si="48"/>
        <v/>
      </c>
      <c r="AO127" t="str">
        <f>IF($C127="Phase",IF($AR127=0,"",IF(COUNT(E128:INDEX(E$6:E$156,122+$AR127))=0,"",MIN(E128:INDEX(E$6:E$156,122+$AR127)))),IF($E127="","",$E127))</f>
        <v/>
      </c>
      <c r="AP127" t="str">
        <f>IF($C127="Phase",IF($AO127="","",MAX(G128:INDEX(G$6:G$156,122+$AR127))),IF($G127="","",$G127))</f>
        <v/>
      </c>
      <c r="AQ127">
        <f>IF($C127="Phase",IF($AR127=0,0,IF(SUM(F128:INDEX(F$6:F$156,122+$AR127))=0,0,SUMPRODUCT(F128:INDEX(F$6:F$156,122+$AR127),H128:INDEX(H$6:H$156,122+$AR127))/SUM(F128:INDEX(F$6:F$156,122+$AR127)))),N($H127))</f>
        <v>0</v>
      </c>
      <c r="AR127">
        <f>IF($C127&lt;&gt;"Phase",0,IFERROR(MATCH("Phase",$C128:$C$156,0)-1,28))</f>
        <v>0</v>
      </c>
      <c r="AS127" t="str">
        <f t="shared" si="39"/>
        <v/>
      </c>
    </row>
    <row r="128" spans="1:45" x14ac:dyDescent="0.3">
      <c r="A128" s="19"/>
      <c r="B128" s="19"/>
      <c r="C128" s="19"/>
      <c r="D128" s="19"/>
      <c r="E128" s="20"/>
      <c r="F128" s="19"/>
      <c r="G128" s="21" t="str">
        <f>IF($C128="Phase",$AP128,IF(OR($E128="",$F128=""),"",IF(N($F128)&lt;=0,$E128,WORKDAY.INTL($E128,$F128-1,Settings!$B$9,Holidays!$A$4:$A$103))))</f>
        <v/>
      </c>
      <c r="H128" s="22"/>
      <c r="I128" s="23" t="str">
        <f t="shared" ca="1" si="38"/>
        <v/>
      </c>
      <c r="J128" s="19"/>
      <c r="K128" s="24" t="str">
        <f t="shared" si="46"/>
        <v/>
      </c>
      <c r="L128" s="24" t="str">
        <f t="shared" si="46"/>
        <v/>
      </c>
      <c r="M128" s="24" t="str">
        <f t="shared" si="46"/>
        <v/>
      </c>
      <c r="N128" s="24" t="str">
        <f t="shared" si="46"/>
        <v/>
      </c>
      <c r="O128" s="24" t="str">
        <f t="shared" si="46"/>
        <v/>
      </c>
      <c r="P128" s="24" t="str">
        <f t="shared" si="46"/>
        <v/>
      </c>
      <c r="Q128" s="24" t="str">
        <f t="shared" si="46"/>
        <v/>
      </c>
      <c r="R128" s="24" t="str">
        <f t="shared" si="46"/>
        <v/>
      </c>
      <c r="S128" s="24" t="str">
        <f t="shared" si="46"/>
        <v/>
      </c>
      <c r="T128" s="24" t="str">
        <f t="shared" si="46"/>
        <v/>
      </c>
      <c r="U128" s="24" t="str">
        <f t="shared" si="47"/>
        <v/>
      </c>
      <c r="V128" s="24" t="str">
        <f t="shared" si="47"/>
        <v/>
      </c>
      <c r="W128" s="24" t="str">
        <f t="shared" si="47"/>
        <v/>
      </c>
      <c r="X128" s="24" t="str">
        <f t="shared" si="47"/>
        <v/>
      </c>
      <c r="Y128" s="24" t="str">
        <f t="shared" si="47"/>
        <v/>
      </c>
      <c r="Z128" s="24" t="str">
        <f t="shared" si="47"/>
        <v/>
      </c>
      <c r="AA128" s="24" t="str">
        <f t="shared" si="47"/>
        <v/>
      </c>
      <c r="AB128" s="24" t="str">
        <f t="shared" si="47"/>
        <v/>
      </c>
      <c r="AC128" s="24" t="str">
        <f t="shared" si="47"/>
        <v/>
      </c>
      <c r="AD128" s="24" t="str">
        <f t="shared" si="47"/>
        <v/>
      </c>
      <c r="AE128" s="24" t="str">
        <f t="shared" si="48"/>
        <v/>
      </c>
      <c r="AF128" s="24" t="str">
        <f t="shared" si="48"/>
        <v/>
      </c>
      <c r="AG128" s="24" t="str">
        <f t="shared" si="48"/>
        <v/>
      </c>
      <c r="AH128" s="24" t="str">
        <f t="shared" si="48"/>
        <v/>
      </c>
      <c r="AI128" s="24" t="str">
        <f t="shared" si="48"/>
        <v/>
      </c>
      <c r="AJ128" s="24" t="str">
        <f t="shared" si="48"/>
        <v/>
      </c>
      <c r="AK128" s="24" t="str">
        <f t="shared" si="48"/>
        <v/>
      </c>
      <c r="AL128" s="24" t="str">
        <f t="shared" si="48"/>
        <v/>
      </c>
      <c r="AM128" s="24" t="str">
        <f t="shared" si="48"/>
        <v/>
      </c>
      <c r="AN128" s="24" t="str">
        <f t="shared" si="48"/>
        <v/>
      </c>
      <c r="AO128" t="str">
        <f>IF($C128="Phase",IF($AR128=0,"",IF(COUNT(E129:INDEX(E$6:E$156,123+$AR128))=0,"",MIN(E129:INDEX(E$6:E$156,123+$AR128)))),IF($E128="","",$E128))</f>
        <v/>
      </c>
      <c r="AP128" t="str">
        <f>IF($C128="Phase",IF($AO128="","",MAX(G129:INDEX(G$6:G$156,123+$AR128))),IF($G128="","",$G128))</f>
        <v/>
      </c>
      <c r="AQ128">
        <f>IF($C128="Phase",IF($AR128=0,0,IF(SUM(F129:INDEX(F$6:F$156,123+$AR128))=0,0,SUMPRODUCT(F129:INDEX(F$6:F$156,123+$AR128),H129:INDEX(H$6:H$156,123+$AR128))/SUM(F129:INDEX(F$6:F$156,123+$AR128)))),N($H128))</f>
        <v>0</v>
      </c>
      <c r="AR128">
        <f>IF($C128&lt;&gt;"Phase",0,IFERROR(MATCH("Phase",$C129:$C$156,0)-1,27))</f>
        <v>0</v>
      </c>
      <c r="AS128" t="str">
        <f t="shared" si="39"/>
        <v/>
      </c>
    </row>
    <row r="129" spans="1:45" x14ac:dyDescent="0.3">
      <c r="A129" s="19"/>
      <c r="B129" s="19"/>
      <c r="C129" s="19"/>
      <c r="D129" s="19"/>
      <c r="E129" s="20"/>
      <c r="F129" s="19"/>
      <c r="G129" s="21" t="str">
        <f>IF($C129="Phase",$AP129,IF(OR($E129="",$F129=""),"",IF(N($F129)&lt;=0,$E129,WORKDAY.INTL($E129,$F129-1,Settings!$B$9,Holidays!$A$4:$A$103))))</f>
        <v/>
      </c>
      <c r="H129" s="22"/>
      <c r="I129" s="23" t="str">
        <f t="shared" ca="1" si="38"/>
        <v/>
      </c>
      <c r="J129" s="19"/>
      <c r="K129" s="24" t="str">
        <f t="shared" si="46"/>
        <v/>
      </c>
      <c r="L129" s="24" t="str">
        <f t="shared" si="46"/>
        <v/>
      </c>
      <c r="M129" s="24" t="str">
        <f t="shared" si="46"/>
        <v/>
      </c>
      <c r="N129" s="24" t="str">
        <f t="shared" si="46"/>
        <v/>
      </c>
      <c r="O129" s="24" t="str">
        <f t="shared" si="46"/>
        <v/>
      </c>
      <c r="P129" s="24" t="str">
        <f t="shared" si="46"/>
        <v/>
      </c>
      <c r="Q129" s="24" t="str">
        <f t="shared" si="46"/>
        <v/>
      </c>
      <c r="R129" s="24" t="str">
        <f t="shared" si="46"/>
        <v/>
      </c>
      <c r="S129" s="24" t="str">
        <f t="shared" si="46"/>
        <v/>
      </c>
      <c r="T129" s="24" t="str">
        <f t="shared" si="46"/>
        <v/>
      </c>
      <c r="U129" s="24" t="str">
        <f t="shared" si="47"/>
        <v/>
      </c>
      <c r="V129" s="24" t="str">
        <f t="shared" si="47"/>
        <v/>
      </c>
      <c r="W129" s="24" t="str">
        <f t="shared" si="47"/>
        <v/>
      </c>
      <c r="X129" s="24" t="str">
        <f t="shared" si="47"/>
        <v/>
      </c>
      <c r="Y129" s="24" t="str">
        <f t="shared" si="47"/>
        <v/>
      </c>
      <c r="Z129" s="24" t="str">
        <f t="shared" si="47"/>
        <v/>
      </c>
      <c r="AA129" s="24" t="str">
        <f t="shared" si="47"/>
        <v/>
      </c>
      <c r="AB129" s="24" t="str">
        <f t="shared" si="47"/>
        <v/>
      </c>
      <c r="AC129" s="24" t="str">
        <f t="shared" si="47"/>
        <v/>
      </c>
      <c r="AD129" s="24" t="str">
        <f t="shared" si="47"/>
        <v/>
      </c>
      <c r="AE129" s="24" t="str">
        <f t="shared" si="48"/>
        <v/>
      </c>
      <c r="AF129" s="24" t="str">
        <f t="shared" si="48"/>
        <v/>
      </c>
      <c r="AG129" s="24" t="str">
        <f t="shared" si="48"/>
        <v/>
      </c>
      <c r="AH129" s="24" t="str">
        <f t="shared" si="48"/>
        <v/>
      </c>
      <c r="AI129" s="24" t="str">
        <f t="shared" si="48"/>
        <v/>
      </c>
      <c r="AJ129" s="24" t="str">
        <f t="shared" si="48"/>
        <v/>
      </c>
      <c r="AK129" s="24" t="str">
        <f t="shared" si="48"/>
        <v/>
      </c>
      <c r="AL129" s="24" t="str">
        <f t="shared" si="48"/>
        <v/>
      </c>
      <c r="AM129" s="24" t="str">
        <f t="shared" si="48"/>
        <v/>
      </c>
      <c r="AN129" s="24" t="str">
        <f t="shared" si="48"/>
        <v/>
      </c>
      <c r="AO129" t="str">
        <f>IF($C129="Phase",IF($AR129=0,"",IF(COUNT(E130:INDEX(E$6:E$156,124+$AR129))=0,"",MIN(E130:INDEX(E$6:E$156,124+$AR129)))),IF($E129="","",$E129))</f>
        <v/>
      </c>
      <c r="AP129" t="str">
        <f>IF($C129="Phase",IF($AO129="","",MAX(G130:INDEX(G$6:G$156,124+$AR129))),IF($G129="","",$G129))</f>
        <v/>
      </c>
      <c r="AQ129">
        <f>IF($C129="Phase",IF($AR129=0,0,IF(SUM(F130:INDEX(F$6:F$156,124+$AR129))=0,0,SUMPRODUCT(F130:INDEX(F$6:F$156,124+$AR129),H130:INDEX(H$6:H$156,124+$AR129))/SUM(F130:INDEX(F$6:F$156,124+$AR129)))),N($H129))</f>
        <v>0</v>
      </c>
      <c r="AR129">
        <f>IF($C129&lt;&gt;"Phase",0,IFERROR(MATCH("Phase",$C130:$C$156,0)-1,26))</f>
        <v>0</v>
      </c>
      <c r="AS129" t="str">
        <f t="shared" si="39"/>
        <v/>
      </c>
    </row>
    <row r="130" spans="1:45" x14ac:dyDescent="0.3">
      <c r="A130" s="19"/>
      <c r="B130" s="19"/>
      <c r="C130" s="19"/>
      <c r="D130" s="19"/>
      <c r="E130" s="20"/>
      <c r="F130" s="19"/>
      <c r="G130" s="21" t="str">
        <f>IF($C130="Phase",$AP130,IF(OR($E130="",$F130=""),"",IF(N($F130)&lt;=0,$E130,WORKDAY.INTL($E130,$F130-1,Settings!$B$9,Holidays!$A$4:$A$103))))</f>
        <v/>
      </c>
      <c r="H130" s="22"/>
      <c r="I130" s="23" t="str">
        <f t="shared" ca="1" si="38"/>
        <v/>
      </c>
      <c r="J130" s="19"/>
      <c r="K130" s="24" t="str">
        <f t="shared" si="46"/>
        <v/>
      </c>
      <c r="L130" s="24" t="str">
        <f t="shared" si="46"/>
        <v/>
      </c>
      <c r="M130" s="24" t="str">
        <f t="shared" si="46"/>
        <v/>
      </c>
      <c r="N130" s="24" t="str">
        <f t="shared" si="46"/>
        <v/>
      </c>
      <c r="O130" s="24" t="str">
        <f t="shared" si="46"/>
        <v/>
      </c>
      <c r="P130" s="24" t="str">
        <f t="shared" si="46"/>
        <v/>
      </c>
      <c r="Q130" s="24" t="str">
        <f t="shared" si="46"/>
        <v/>
      </c>
      <c r="R130" s="24" t="str">
        <f t="shared" si="46"/>
        <v/>
      </c>
      <c r="S130" s="24" t="str">
        <f t="shared" si="46"/>
        <v/>
      </c>
      <c r="T130" s="24" t="str">
        <f t="shared" si="46"/>
        <v/>
      </c>
      <c r="U130" s="24" t="str">
        <f t="shared" si="47"/>
        <v/>
      </c>
      <c r="V130" s="24" t="str">
        <f t="shared" si="47"/>
        <v/>
      </c>
      <c r="W130" s="24" t="str">
        <f t="shared" si="47"/>
        <v/>
      </c>
      <c r="X130" s="24" t="str">
        <f t="shared" si="47"/>
        <v/>
      </c>
      <c r="Y130" s="24" t="str">
        <f t="shared" si="47"/>
        <v/>
      </c>
      <c r="Z130" s="24" t="str">
        <f t="shared" si="47"/>
        <v/>
      </c>
      <c r="AA130" s="24" t="str">
        <f t="shared" si="47"/>
        <v/>
      </c>
      <c r="AB130" s="24" t="str">
        <f t="shared" si="47"/>
        <v/>
      </c>
      <c r="AC130" s="24" t="str">
        <f t="shared" si="47"/>
        <v/>
      </c>
      <c r="AD130" s="24" t="str">
        <f t="shared" si="47"/>
        <v/>
      </c>
      <c r="AE130" s="24" t="str">
        <f t="shared" si="48"/>
        <v/>
      </c>
      <c r="AF130" s="24" t="str">
        <f t="shared" si="48"/>
        <v/>
      </c>
      <c r="AG130" s="24" t="str">
        <f t="shared" si="48"/>
        <v/>
      </c>
      <c r="AH130" s="24" t="str">
        <f t="shared" si="48"/>
        <v/>
      </c>
      <c r="AI130" s="24" t="str">
        <f t="shared" si="48"/>
        <v/>
      </c>
      <c r="AJ130" s="24" t="str">
        <f t="shared" si="48"/>
        <v/>
      </c>
      <c r="AK130" s="24" t="str">
        <f t="shared" si="48"/>
        <v/>
      </c>
      <c r="AL130" s="24" t="str">
        <f t="shared" si="48"/>
        <v/>
      </c>
      <c r="AM130" s="24" t="str">
        <f t="shared" si="48"/>
        <v/>
      </c>
      <c r="AN130" s="24" t="str">
        <f t="shared" si="48"/>
        <v/>
      </c>
      <c r="AO130" t="str">
        <f>IF($C130="Phase",IF($AR130=0,"",IF(COUNT(E131:INDEX(E$6:E$156,125+$AR130))=0,"",MIN(E131:INDEX(E$6:E$156,125+$AR130)))),IF($E130="","",$E130))</f>
        <v/>
      </c>
      <c r="AP130" t="str">
        <f>IF($C130="Phase",IF($AO130="","",MAX(G131:INDEX(G$6:G$156,125+$AR130))),IF($G130="","",$G130))</f>
        <v/>
      </c>
      <c r="AQ130">
        <f>IF($C130="Phase",IF($AR130=0,0,IF(SUM(F131:INDEX(F$6:F$156,125+$AR130))=0,0,SUMPRODUCT(F131:INDEX(F$6:F$156,125+$AR130),H131:INDEX(H$6:H$156,125+$AR130))/SUM(F131:INDEX(F$6:F$156,125+$AR130)))),N($H130))</f>
        <v>0</v>
      </c>
      <c r="AR130">
        <f>IF($C130&lt;&gt;"Phase",0,IFERROR(MATCH("Phase",$C131:$C$156,0)-1,25))</f>
        <v>0</v>
      </c>
      <c r="AS130" t="str">
        <f t="shared" si="39"/>
        <v/>
      </c>
    </row>
    <row r="131" spans="1:45" x14ac:dyDescent="0.3">
      <c r="A131" s="19"/>
      <c r="B131" s="19"/>
      <c r="C131" s="19"/>
      <c r="D131" s="19"/>
      <c r="E131" s="20"/>
      <c r="F131" s="19"/>
      <c r="G131" s="21" t="str">
        <f>IF($C131="Phase",$AP131,IF(OR($E131="",$F131=""),"",IF(N($F131)&lt;=0,$E131,WORKDAY.INTL($E131,$F131-1,Settings!$B$9,Holidays!$A$4:$A$103))))</f>
        <v/>
      </c>
      <c r="H131" s="22"/>
      <c r="I131" s="23" t="str">
        <f t="shared" ca="1" si="38"/>
        <v/>
      </c>
      <c r="J131" s="19"/>
      <c r="K131" s="24" t="str">
        <f t="shared" si="46"/>
        <v/>
      </c>
      <c r="L131" s="24" t="str">
        <f t="shared" si="46"/>
        <v/>
      </c>
      <c r="M131" s="24" t="str">
        <f t="shared" si="46"/>
        <v/>
      </c>
      <c r="N131" s="24" t="str">
        <f t="shared" si="46"/>
        <v/>
      </c>
      <c r="O131" s="24" t="str">
        <f t="shared" si="46"/>
        <v/>
      </c>
      <c r="P131" s="24" t="str">
        <f t="shared" si="46"/>
        <v/>
      </c>
      <c r="Q131" s="24" t="str">
        <f t="shared" si="46"/>
        <v/>
      </c>
      <c r="R131" s="24" t="str">
        <f t="shared" si="46"/>
        <v/>
      </c>
      <c r="S131" s="24" t="str">
        <f t="shared" si="46"/>
        <v/>
      </c>
      <c r="T131" s="24" t="str">
        <f t="shared" si="46"/>
        <v/>
      </c>
      <c r="U131" s="24" t="str">
        <f t="shared" si="47"/>
        <v/>
      </c>
      <c r="V131" s="24" t="str">
        <f t="shared" si="47"/>
        <v/>
      </c>
      <c r="W131" s="24" t="str">
        <f t="shared" si="47"/>
        <v/>
      </c>
      <c r="X131" s="24" t="str">
        <f t="shared" si="47"/>
        <v/>
      </c>
      <c r="Y131" s="24" t="str">
        <f t="shared" si="47"/>
        <v/>
      </c>
      <c r="Z131" s="24" t="str">
        <f t="shared" si="47"/>
        <v/>
      </c>
      <c r="AA131" s="24" t="str">
        <f t="shared" si="47"/>
        <v/>
      </c>
      <c r="AB131" s="24" t="str">
        <f t="shared" si="47"/>
        <v/>
      </c>
      <c r="AC131" s="24" t="str">
        <f t="shared" si="47"/>
        <v/>
      </c>
      <c r="AD131" s="24" t="str">
        <f t="shared" si="47"/>
        <v/>
      </c>
      <c r="AE131" s="24" t="str">
        <f t="shared" si="48"/>
        <v/>
      </c>
      <c r="AF131" s="24" t="str">
        <f t="shared" si="48"/>
        <v/>
      </c>
      <c r="AG131" s="24" t="str">
        <f t="shared" si="48"/>
        <v/>
      </c>
      <c r="AH131" s="24" t="str">
        <f t="shared" si="48"/>
        <v/>
      </c>
      <c r="AI131" s="24" t="str">
        <f t="shared" si="48"/>
        <v/>
      </c>
      <c r="AJ131" s="24" t="str">
        <f t="shared" si="48"/>
        <v/>
      </c>
      <c r="AK131" s="24" t="str">
        <f t="shared" si="48"/>
        <v/>
      </c>
      <c r="AL131" s="24" t="str">
        <f t="shared" si="48"/>
        <v/>
      </c>
      <c r="AM131" s="24" t="str">
        <f t="shared" si="48"/>
        <v/>
      </c>
      <c r="AN131" s="24" t="str">
        <f t="shared" si="48"/>
        <v/>
      </c>
      <c r="AO131" t="str">
        <f>IF($C131="Phase",IF($AR131=0,"",IF(COUNT(E132:INDEX(E$6:E$156,126+$AR131))=0,"",MIN(E132:INDEX(E$6:E$156,126+$AR131)))),IF($E131="","",$E131))</f>
        <v/>
      </c>
      <c r="AP131" t="str">
        <f>IF($C131="Phase",IF($AO131="","",MAX(G132:INDEX(G$6:G$156,126+$AR131))),IF($G131="","",$G131))</f>
        <v/>
      </c>
      <c r="AQ131">
        <f>IF($C131="Phase",IF($AR131=0,0,IF(SUM(F132:INDEX(F$6:F$156,126+$AR131))=0,0,SUMPRODUCT(F132:INDEX(F$6:F$156,126+$AR131),H132:INDEX(H$6:H$156,126+$AR131))/SUM(F132:INDEX(F$6:F$156,126+$AR131)))),N($H131))</f>
        <v>0</v>
      </c>
      <c r="AR131">
        <f>IF($C131&lt;&gt;"Phase",0,IFERROR(MATCH("Phase",$C132:$C$156,0)-1,24))</f>
        <v>0</v>
      </c>
      <c r="AS131" t="str">
        <f t="shared" si="39"/>
        <v/>
      </c>
    </row>
    <row r="132" spans="1:45" x14ac:dyDescent="0.3">
      <c r="A132" s="19"/>
      <c r="B132" s="19"/>
      <c r="C132" s="19"/>
      <c r="D132" s="19"/>
      <c r="E132" s="20"/>
      <c r="F132" s="19"/>
      <c r="G132" s="21" t="str">
        <f>IF($C132="Phase",$AP132,IF(OR($E132="",$F132=""),"",IF(N($F132)&lt;=0,$E132,WORKDAY.INTL($E132,$F132-1,Settings!$B$9,Holidays!$A$4:$A$103))))</f>
        <v/>
      </c>
      <c r="H132" s="22"/>
      <c r="I132" s="23" t="str">
        <f t="shared" ca="1" si="38"/>
        <v/>
      </c>
      <c r="J132" s="19"/>
      <c r="K132" s="24" t="str">
        <f t="shared" si="46"/>
        <v/>
      </c>
      <c r="L132" s="24" t="str">
        <f t="shared" si="46"/>
        <v/>
      </c>
      <c r="M132" s="24" t="str">
        <f t="shared" si="46"/>
        <v/>
      </c>
      <c r="N132" s="24" t="str">
        <f t="shared" si="46"/>
        <v/>
      </c>
      <c r="O132" s="24" t="str">
        <f t="shared" si="46"/>
        <v/>
      </c>
      <c r="P132" s="24" t="str">
        <f t="shared" si="46"/>
        <v/>
      </c>
      <c r="Q132" s="24" t="str">
        <f t="shared" si="46"/>
        <v/>
      </c>
      <c r="R132" s="24" t="str">
        <f t="shared" si="46"/>
        <v/>
      </c>
      <c r="S132" s="24" t="str">
        <f t="shared" si="46"/>
        <v/>
      </c>
      <c r="T132" s="24" t="str">
        <f t="shared" si="46"/>
        <v/>
      </c>
      <c r="U132" s="24" t="str">
        <f t="shared" si="47"/>
        <v/>
      </c>
      <c r="V132" s="24" t="str">
        <f t="shared" si="47"/>
        <v/>
      </c>
      <c r="W132" s="24" t="str">
        <f t="shared" si="47"/>
        <v/>
      </c>
      <c r="X132" s="24" t="str">
        <f t="shared" si="47"/>
        <v/>
      </c>
      <c r="Y132" s="24" t="str">
        <f t="shared" si="47"/>
        <v/>
      </c>
      <c r="Z132" s="24" t="str">
        <f t="shared" si="47"/>
        <v/>
      </c>
      <c r="AA132" s="24" t="str">
        <f t="shared" si="47"/>
        <v/>
      </c>
      <c r="AB132" s="24" t="str">
        <f t="shared" si="47"/>
        <v/>
      </c>
      <c r="AC132" s="24" t="str">
        <f t="shared" si="47"/>
        <v/>
      </c>
      <c r="AD132" s="24" t="str">
        <f t="shared" si="47"/>
        <v/>
      </c>
      <c r="AE132" s="24" t="str">
        <f t="shared" si="48"/>
        <v/>
      </c>
      <c r="AF132" s="24" t="str">
        <f t="shared" si="48"/>
        <v/>
      </c>
      <c r="AG132" s="24" t="str">
        <f t="shared" si="48"/>
        <v/>
      </c>
      <c r="AH132" s="24" t="str">
        <f t="shared" si="48"/>
        <v/>
      </c>
      <c r="AI132" s="24" t="str">
        <f t="shared" si="48"/>
        <v/>
      </c>
      <c r="AJ132" s="24" t="str">
        <f t="shared" si="48"/>
        <v/>
      </c>
      <c r="AK132" s="24" t="str">
        <f t="shared" si="48"/>
        <v/>
      </c>
      <c r="AL132" s="24" t="str">
        <f t="shared" si="48"/>
        <v/>
      </c>
      <c r="AM132" s="24" t="str">
        <f t="shared" si="48"/>
        <v/>
      </c>
      <c r="AN132" s="24" t="str">
        <f t="shared" si="48"/>
        <v/>
      </c>
      <c r="AO132" t="str">
        <f>IF($C132="Phase",IF($AR132=0,"",IF(COUNT(E133:INDEX(E$6:E$156,127+$AR132))=0,"",MIN(E133:INDEX(E$6:E$156,127+$AR132)))),IF($E132="","",$E132))</f>
        <v/>
      </c>
      <c r="AP132" t="str">
        <f>IF($C132="Phase",IF($AO132="","",MAX(G133:INDEX(G$6:G$156,127+$AR132))),IF($G132="","",$G132))</f>
        <v/>
      </c>
      <c r="AQ132">
        <f>IF($C132="Phase",IF($AR132=0,0,IF(SUM(F133:INDEX(F$6:F$156,127+$AR132))=0,0,SUMPRODUCT(F133:INDEX(F$6:F$156,127+$AR132),H133:INDEX(H$6:H$156,127+$AR132))/SUM(F133:INDEX(F$6:F$156,127+$AR132)))),N($H132))</f>
        <v>0</v>
      </c>
      <c r="AR132">
        <f>IF($C132&lt;&gt;"Phase",0,IFERROR(MATCH("Phase",$C133:$C$156,0)-1,23))</f>
        <v>0</v>
      </c>
      <c r="AS132" t="str">
        <f t="shared" si="39"/>
        <v/>
      </c>
    </row>
    <row r="133" spans="1:45" x14ac:dyDescent="0.3">
      <c r="A133" s="19"/>
      <c r="B133" s="19"/>
      <c r="C133" s="19"/>
      <c r="D133" s="19"/>
      <c r="E133" s="20"/>
      <c r="F133" s="19"/>
      <c r="G133" s="21" t="str">
        <f>IF($C133="Phase",$AP133,IF(OR($E133="",$F133=""),"",IF(N($F133)&lt;=0,$E133,WORKDAY.INTL($E133,$F133-1,Settings!$B$9,Holidays!$A$4:$A$103))))</f>
        <v/>
      </c>
      <c r="H133" s="22"/>
      <c r="I133" s="23" t="str">
        <f t="shared" ca="1" si="38"/>
        <v/>
      </c>
      <c r="J133" s="19"/>
      <c r="K133" s="24" t="str">
        <f t="shared" si="46"/>
        <v/>
      </c>
      <c r="L133" s="24" t="str">
        <f t="shared" si="46"/>
        <v/>
      </c>
      <c r="M133" s="24" t="str">
        <f t="shared" si="46"/>
        <v/>
      </c>
      <c r="N133" s="24" t="str">
        <f t="shared" si="46"/>
        <v/>
      </c>
      <c r="O133" s="24" t="str">
        <f t="shared" si="46"/>
        <v/>
      </c>
      <c r="P133" s="24" t="str">
        <f t="shared" si="46"/>
        <v/>
      </c>
      <c r="Q133" s="24" t="str">
        <f t="shared" si="46"/>
        <v/>
      </c>
      <c r="R133" s="24" t="str">
        <f t="shared" si="46"/>
        <v/>
      </c>
      <c r="S133" s="24" t="str">
        <f t="shared" si="46"/>
        <v/>
      </c>
      <c r="T133" s="24" t="str">
        <f t="shared" si="46"/>
        <v/>
      </c>
      <c r="U133" s="24" t="str">
        <f t="shared" si="47"/>
        <v/>
      </c>
      <c r="V133" s="24" t="str">
        <f t="shared" si="47"/>
        <v/>
      </c>
      <c r="W133" s="24" t="str">
        <f t="shared" si="47"/>
        <v/>
      </c>
      <c r="X133" s="24" t="str">
        <f t="shared" si="47"/>
        <v/>
      </c>
      <c r="Y133" s="24" t="str">
        <f t="shared" si="47"/>
        <v/>
      </c>
      <c r="Z133" s="24" t="str">
        <f t="shared" si="47"/>
        <v/>
      </c>
      <c r="AA133" s="24" t="str">
        <f t="shared" si="47"/>
        <v/>
      </c>
      <c r="AB133" s="24" t="str">
        <f t="shared" si="47"/>
        <v/>
      </c>
      <c r="AC133" s="24" t="str">
        <f t="shared" si="47"/>
        <v/>
      </c>
      <c r="AD133" s="24" t="str">
        <f t="shared" si="47"/>
        <v/>
      </c>
      <c r="AE133" s="24" t="str">
        <f t="shared" si="48"/>
        <v/>
      </c>
      <c r="AF133" s="24" t="str">
        <f t="shared" si="48"/>
        <v/>
      </c>
      <c r="AG133" s="24" t="str">
        <f t="shared" si="48"/>
        <v/>
      </c>
      <c r="AH133" s="24" t="str">
        <f t="shared" si="48"/>
        <v/>
      </c>
      <c r="AI133" s="24" t="str">
        <f t="shared" si="48"/>
        <v/>
      </c>
      <c r="AJ133" s="24" t="str">
        <f t="shared" si="48"/>
        <v/>
      </c>
      <c r="AK133" s="24" t="str">
        <f t="shared" si="48"/>
        <v/>
      </c>
      <c r="AL133" s="24" t="str">
        <f t="shared" si="48"/>
        <v/>
      </c>
      <c r="AM133" s="24" t="str">
        <f t="shared" si="48"/>
        <v/>
      </c>
      <c r="AN133" s="24" t="str">
        <f t="shared" si="48"/>
        <v/>
      </c>
      <c r="AO133" t="str">
        <f>IF($C133="Phase",IF($AR133=0,"",IF(COUNT(E134:INDEX(E$6:E$156,128+$AR133))=0,"",MIN(E134:INDEX(E$6:E$156,128+$AR133)))),IF($E133="","",$E133))</f>
        <v/>
      </c>
      <c r="AP133" t="str">
        <f>IF($C133="Phase",IF($AO133="","",MAX(G134:INDEX(G$6:G$156,128+$AR133))),IF($G133="","",$G133))</f>
        <v/>
      </c>
      <c r="AQ133">
        <f>IF($C133="Phase",IF($AR133=0,0,IF(SUM(F134:INDEX(F$6:F$156,128+$AR133))=0,0,SUMPRODUCT(F134:INDEX(F$6:F$156,128+$AR133),H134:INDEX(H$6:H$156,128+$AR133))/SUM(F134:INDEX(F$6:F$156,128+$AR133)))),N($H133))</f>
        <v>0</v>
      </c>
      <c r="AR133">
        <f>IF($C133&lt;&gt;"Phase",0,IFERROR(MATCH("Phase",$C134:$C$156,0)-1,22))</f>
        <v>0</v>
      </c>
      <c r="AS133" t="str">
        <f t="shared" si="39"/>
        <v/>
      </c>
    </row>
    <row r="134" spans="1:45" x14ac:dyDescent="0.3">
      <c r="A134" s="19"/>
      <c r="B134" s="19"/>
      <c r="C134" s="19"/>
      <c r="D134" s="19"/>
      <c r="E134" s="20"/>
      <c r="F134" s="19"/>
      <c r="G134" s="21" t="str">
        <f>IF($C134="Phase",$AP134,IF(OR($E134="",$F134=""),"",IF(N($F134)&lt;=0,$E134,WORKDAY.INTL($E134,$F134-1,Settings!$B$9,Holidays!$A$4:$A$103))))</f>
        <v/>
      </c>
      <c r="H134" s="22"/>
      <c r="I134" s="23" t="str">
        <f t="shared" ref="I134:I155" ca="1" si="49">IF($B134="","",IF($AP134="","Not planned",IF(N($AQ134)&gt;=1,"Done",IF($AP134&lt;TODAY(),"Late",IF($AO134&lt;=TODAY(),"In progress","Not started")))))</f>
        <v/>
      </c>
      <c r="J134" s="19"/>
      <c r="K134" s="24" t="str">
        <f t="shared" si="46"/>
        <v/>
      </c>
      <c r="L134" s="24" t="str">
        <f t="shared" si="46"/>
        <v/>
      </c>
      <c r="M134" s="24" t="str">
        <f t="shared" si="46"/>
        <v/>
      </c>
      <c r="N134" s="24" t="str">
        <f t="shared" si="46"/>
        <v/>
      </c>
      <c r="O134" s="24" t="str">
        <f t="shared" si="46"/>
        <v/>
      </c>
      <c r="P134" s="24" t="str">
        <f t="shared" si="46"/>
        <v/>
      </c>
      <c r="Q134" s="24" t="str">
        <f t="shared" si="46"/>
        <v/>
      </c>
      <c r="R134" s="24" t="str">
        <f t="shared" si="46"/>
        <v/>
      </c>
      <c r="S134" s="24" t="str">
        <f t="shared" si="46"/>
        <v/>
      </c>
      <c r="T134" s="24" t="str">
        <f t="shared" si="46"/>
        <v/>
      </c>
      <c r="U134" s="24" t="str">
        <f t="shared" si="47"/>
        <v/>
      </c>
      <c r="V134" s="24" t="str">
        <f t="shared" si="47"/>
        <v/>
      </c>
      <c r="W134" s="24" t="str">
        <f t="shared" si="47"/>
        <v/>
      </c>
      <c r="X134" s="24" t="str">
        <f t="shared" si="47"/>
        <v/>
      </c>
      <c r="Y134" s="24" t="str">
        <f t="shared" si="47"/>
        <v/>
      </c>
      <c r="Z134" s="24" t="str">
        <f t="shared" si="47"/>
        <v/>
      </c>
      <c r="AA134" s="24" t="str">
        <f t="shared" si="47"/>
        <v/>
      </c>
      <c r="AB134" s="24" t="str">
        <f t="shared" si="47"/>
        <v/>
      </c>
      <c r="AC134" s="24" t="str">
        <f t="shared" si="47"/>
        <v/>
      </c>
      <c r="AD134" s="24" t="str">
        <f t="shared" si="47"/>
        <v/>
      </c>
      <c r="AE134" s="24" t="str">
        <f t="shared" si="48"/>
        <v/>
      </c>
      <c r="AF134" s="24" t="str">
        <f t="shared" si="48"/>
        <v/>
      </c>
      <c r="AG134" s="24" t="str">
        <f t="shared" si="48"/>
        <v/>
      </c>
      <c r="AH134" s="24" t="str">
        <f t="shared" si="48"/>
        <v/>
      </c>
      <c r="AI134" s="24" t="str">
        <f t="shared" si="48"/>
        <v/>
      </c>
      <c r="AJ134" s="24" t="str">
        <f t="shared" si="48"/>
        <v/>
      </c>
      <c r="AK134" s="24" t="str">
        <f t="shared" si="48"/>
        <v/>
      </c>
      <c r="AL134" s="24" t="str">
        <f t="shared" si="48"/>
        <v/>
      </c>
      <c r="AM134" s="24" t="str">
        <f t="shared" si="48"/>
        <v/>
      </c>
      <c r="AN134" s="24" t="str">
        <f t="shared" si="48"/>
        <v/>
      </c>
      <c r="AO134" t="str">
        <f>IF($C134="Phase",IF($AR134=0,"",IF(COUNT(E135:INDEX(E$6:E$156,129+$AR134))=0,"",MIN(E135:INDEX(E$6:E$156,129+$AR134)))),IF($E134="","",$E134))</f>
        <v/>
      </c>
      <c r="AP134" t="str">
        <f>IF($C134="Phase",IF($AO134="","",MAX(G135:INDEX(G$6:G$156,129+$AR134))),IF($G134="","",$G134))</f>
        <v/>
      </c>
      <c r="AQ134">
        <f>IF($C134="Phase",IF($AR134=0,0,IF(SUM(F135:INDEX(F$6:F$156,129+$AR134))=0,0,SUMPRODUCT(F135:INDEX(F$6:F$156,129+$AR134),H135:INDEX(H$6:H$156,129+$AR134))/SUM(F135:INDEX(F$6:F$156,129+$AR134)))),N($H134))</f>
        <v>0</v>
      </c>
      <c r="AR134">
        <f>IF($C134&lt;&gt;"Phase",0,IFERROR(MATCH("Phase",$C135:$C$156,0)-1,21))</f>
        <v>0</v>
      </c>
      <c r="AS134" t="str">
        <f t="shared" ref="AS134:AS155" si="50">IF(AND($C134="Milestone",$AP134&lt;&gt;"",N($H134)&lt;1),$AP134,"")</f>
        <v/>
      </c>
    </row>
    <row r="135" spans="1:45" x14ac:dyDescent="0.3">
      <c r="A135" s="19"/>
      <c r="B135" s="19"/>
      <c r="C135" s="19"/>
      <c r="D135" s="19"/>
      <c r="E135" s="20"/>
      <c r="F135" s="19"/>
      <c r="G135" s="21" t="str">
        <f>IF($C135="Phase",$AP135,IF(OR($E135="",$F135=""),"",IF(N($F135)&lt;=0,$E135,WORKDAY.INTL($E135,$F135-1,Settings!$B$9,Holidays!$A$4:$A$103))))</f>
        <v/>
      </c>
      <c r="H135" s="22"/>
      <c r="I135" s="23" t="str">
        <f t="shared" ca="1" si="49"/>
        <v/>
      </c>
      <c r="J135" s="19"/>
      <c r="K135" s="24" t="str">
        <f t="shared" si="46"/>
        <v/>
      </c>
      <c r="L135" s="24" t="str">
        <f t="shared" si="46"/>
        <v/>
      </c>
      <c r="M135" s="24" t="str">
        <f t="shared" si="46"/>
        <v/>
      </c>
      <c r="N135" s="24" t="str">
        <f t="shared" si="46"/>
        <v/>
      </c>
      <c r="O135" s="24" t="str">
        <f t="shared" si="46"/>
        <v/>
      </c>
      <c r="P135" s="24" t="str">
        <f t="shared" si="46"/>
        <v/>
      </c>
      <c r="Q135" s="24" t="str">
        <f t="shared" si="46"/>
        <v/>
      </c>
      <c r="R135" s="24" t="str">
        <f t="shared" si="46"/>
        <v/>
      </c>
      <c r="S135" s="24" t="str">
        <f t="shared" si="46"/>
        <v/>
      </c>
      <c r="T135" s="24" t="str">
        <f t="shared" si="46"/>
        <v/>
      </c>
      <c r="U135" s="24" t="str">
        <f t="shared" si="47"/>
        <v/>
      </c>
      <c r="V135" s="24" t="str">
        <f t="shared" si="47"/>
        <v/>
      </c>
      <c r="W135" s="24" t="str">
        <f t="shared" si="47"/>
        <v/>
      </c>
      <c r="X135" s="24" t="str">
        <f t="shared" si="47"/>
        <v/>
      </c>
      <c r="Y135" s="24" t="str">
        <f t="shared" si="47"/>
        <v/>
      </c>
      <c r="Z135" s="24" t="str">
        <f t="shared" si="47"/>
        <v/>
      </c>
      <c r="AA135" s="24" t="str">
        <f t="shared" si="47"/>
        <v/>
      </c>
      <c r="AB135" s="24" t="str">
        <f t="shared" si="47"/>
        <v/>
      </c>
      <c r="AC135" s="24" t="str">
        <f t="shared" si="47"/>
        <v/>
      </c>
      <c r="AD135" s="24" t="str">
        <f t="shared" si="47"/>
        <v/>
      </c>
      <c r="AE135" s="24" t="str">
        <f t="shared" si="48"/>
        <v/>
      </c>
      <c r="AF135" s="24" t="str">
        <f t="shared" si="48"/>
        <v/>
      </c>
      <c r="AG135" s="24" t="str">
        <f t="shared" si="48"/>
        <v/>
      </c>
      <c r="AH135" s="24" t="str">
        <f t="shared" si="48"/>
        <v/>
      </c>
      <c r="AI135" s="24" t="str">
        <f t="shared" si="48"/>
        <v/>
      </c>
      <c r="AJ135" s="24" t="str">
        <f t="shared" si="48"/>
        <v/>
      </c>
      <c r="AK135" s="24" t="str">
        <f t="shared" si="48"/>
        <v/>
      </c>
      <c r="AL135" s="24" t="str">
        <f t="shared" si="48"/>
        <v/>
      </c>
      <c r="AM135" s="24" t="str">
        <f t="shared" si="48"/>
        <v/>
      </c>
      <c r="AN135" s="24" t="str">
        <f t="shared" si="48"/>
        <v/>
      </c>
      <c r="AO135" t="str">
        <f>IF($C135="Phase",IF($AR135=0,"",IF(COUNT(E136:INDEX(E$6:E$156,130+$AR135))=0,"",MIN(E136:INDEX(E$6:E$156,130+$AR135)))),IF($E135="","",$E135))</f>
        <v/>
      </c>
      <c r="AP135" t="str">
        <f>IF($C135="Phase",IF($AO135="","",MAX(G136:INDEX(G$6:G$156,130+$AR135))),IF($G135="","",$G135))</f>
        <v/>
      </c>
      <c r="AQ135">
        <f>IF($C135="Phase",IF($AR135=0,0,IF(SUM(F136:INDEX(F$6:F$156,130+$AR135))=0,0,SUMPRODUCT(F136:INDEX(F$6:F$156,130+$AR135),H136:INDEX(H$6:H$156,130+$AR135))/SUM(F136:INDEX(F$6:F$156,130+$AR135)))),N($H135))</f>
        <v>0</v>
      </c>
      <c r="AR135">
        <f>IF($C135&lt;&gt;"Phase",0,IFERROR(MATCH("Phase",$C136:$C$156,0)-1,20))</f>
        <v>0</v>
      </c>
      <c r="AS135" t="str">
        <f t="shared" si="50"/>
        <v/>
      </c>
    </row>
    <row r="136" spans="1:45" x14ac:dyDescent="0.3">
      <c r="A136" s="19"/>
      <c r="B136" s="19"/>
      <c r="C136" s="19"/>
      <c r="D136" s="19"/>
      <c r="E136" s="20"/>
      <c r="F136" s="19"/>
      <c r="G136" s="21" t="str">
        <f>IF($C136="Phase",$AP136,IF(OR($E136="",$F136=""),"",IF(N($F136)&lt;=0,$E136,WORKDAY.INTL($E136,$F136-1,Settings!$B$9,Holidays!$A$4:$A$103))))</f>
        <v/>
      </c>
      <c r="H136" s="22"/>
      <c r="I136" s="23" t="str">
        <f t="shared" ca="1" si="49"/>
        <v/>
      </c>
      <c r="J136" s="19"/>
      <c r="K136" s="24" t="str">
        <f t="shared" ref="K136:T145" si="51">IF(AND($C136="Milestone",$AP136&lt;&gt;""),IF(AND($AP136&gt;=K$5,$AP136&lt;K$5+$AO$3),"◆",""),"")</f>
        <v/>
      </c>
      <c r="L136" s="24" t="str">
        <f t="shared" si="51"/>
        <v/>
      </c>
      <c r="M136" s="24" t="str">
        <f t="shared" si="51"/>
        <v/>
      </c>
      <c r="N136" s="24" t="str">
        <f t="shared" si="51"/>
        <v/>
      </c>
      <c r="O136" s="24" t="str">
        <f t="shared" si="51"/>
        <v/>
      </c>
      <c r="P136" s="24" t="str">
        <f t="shared" si="51"/>
        <v/>
      </c>
      <c r="Q136" s="24" t="str">
        <f t="shared" si="51"/>
        <v/>
      </c>
      <c r="R136" s="24" t="str">
        <f t="shared" si="51"/>
        <v/>
      </c>
      <c r="S136" s="24" t="str">
        <f t="shared" si="51"/>
        <v/>
      </c>
      <c r="T136" s="24" t="str">
        <f t="shared" si="51"/>
        <v/>
      </c>
      <c r="U136" s="24" t="str">
        <f t="shared" ref="U136:AD145" si="52">IF(AND($C136="Milestone",$AP136&lt;&gt;""),IF(AND($AP136&gt;=U$5,$AP136&lt;U$5+$AO$3),"◆",""),"")</f>
        <v/>
      </c>
      <c r="V136" s="24" t="str">
        <f t="shared" si="52"/>
        <v/>
      </c>
      <c r="W136" s="24" t="str">
        <f t="shared" si="52"/>
        <v/>
      </c>
      <c r="X136" s="24" t="str">
        <f t="shared" si="52"/>
        <v/>
      </c>
      <c r="Y136" s="24" t="str">
        <f t="shared" si="52"/>
        <v/>
      </c>
      <c r="Z136" s="24" t="str">
        <f t="shared" si="52"/>
        <v/>
      </c>
      <c r="AA136" s="24" t="str">
        <f t="shared" si="52"/>
        <v/>
      </c>
      <c r="AB136" s="24" t="str">
        <f t="shared" si="52"/>
        <v/>
      </c>
      <c r="AC136" s="24" t="str">
        <f t="shared" si="52"/>
        <v/>
      </c>
      <c r="AD136" s="24" t="str">
        <f t="shared" si="52"/>
        <v/>
      </c>
      <c r="AE136" s="24" t="str">
        <f t="shared" ref="AE136:AN145" si="53">IF(AND($C136="Milestone",$AP136&lt;&gt;""),IF(AND($AP136&gt;=AE$5,$AP136&lt;AE$5+$AO$3),"◆",""),"")</f>
        <v/>
      </c>
      <c r="AF136" s="24" t="str">
        <f t="shared" si="53"/>
        <v/>
      </c>
      <c r="AG136" s="24" t="str">
        <f t="shared" si="53"/>
        <v/>
      </c>
      <c r="AH136" s="24" t="str">
        <f t="shared" si="53"/>
        <v/>
      </c>
      <c r="AI136" s="24" t="str">
        <f t="shared" si="53"/>
        <v/>
      </c>
      <c r="AJ136" s="24" t="str">
        <f t="shared" si="53"/>
        <v/>
      </c>
      <c r="AK136" s="24" t="str">
        <f t="shared" si="53"/>
        <v/>
      </c>
      <c r="AL136" s="24" t="str">
        <f t="shared" si="53"/>
        <v/>
      </c>
      <c r="AM136" s="24" t="str">
        <f t="shared" si="53"/>
        <v/>
      </c>
      <c r="AN136" s="24" t="str">
        <f t="shared" si="53"/>
        <v/>
      </c>
      <c r="AO136" t="str">
        <f>IF($C136="Phase",IF($AR136=0,"",IF(COUNT(E137:INDEX(E$6:E$156,131+$AR136))=0,"",MIN(E137:INDEX(E$6:E$156,131+$AR136)))),IF($E136="","",$E136))</f>
        <v/>
      </c>
      <c r="AP136" t="str">
        <f>IF($C136="Phase",IF($AO136="","",MAX(G137:INDEX(G$6:G$156,131+$AR136))),IF($G136="","",$G136))</f>
        <v/>
      </c>
      <c r="AQ136">
        <f>IF($C136="Phase",IF($AR136=0,0,IF(SUM(F137:INDEX(F$6:F$156,131+$AR136))=0,0,SUMPRODUCT(F137:INDEX(F$6:F$156,131+$AR136),H137:INDEX(H$6:H$156,131+$AR136))/SUM(F137:INDEX(F$6:F$156,131+$AR136)))),N($H136))</f>
        <v>0</v>
      </c>
      <c r="AR136">
        <f>IF($C136&lt;&gt;"Phase",0,IFERROR(MATCH("Phase",$C137:$C$156,0)-1,19))</f>
        <v>0</v>
      </c>
      <c r="AS136" t="str">
        <f t="shared" si="50"/>
        <v/>
      </c>
    </row>
    <row r="137" spans="1:45" x14ac:dyDescent="0.3">
      <c r="A137" s="19"/>
      <c r="B137" s="19"/>
      <c r="C137" s="19"/>
      <c r="D137" s="19"/>
      <c r="E137" s="20"/>
      <c r="F137" s="19"/>
      <c r="G137" s="21" t="str">
        <f>IF($C137="Phase",$AP137,IF(OR($E137="",$F137=""),"",IF(N($F137)&lt;=0,$E137,WORKDAY.INTL($E137,$F137-1,Settings!$B$9,Holidays!$A$4:$A$103))))</f>
        <v/>
      </c>
      <c r="H137" s="22"/>
      <c r="I137" s="23" t="str">
        <f t="shared" ca="1" si="49"/>
        <v/>
      </c>
      <c r="J137" s="19"/>
      <c r="K137" s="24" t="str">
        <f t="shared" si="51"/>
        <v/>
      </c>
      <c r="L137" s="24" t="str">
        <f t="shared" si="51"/>
        <v/>
      </c>
      <c r="M137" s="24" t="str">
        <f t="shared" si="51"/>
        <v/>
      </c>
      <c r="N137" s="24" t="str">
        <f t="shared" si="51"/>
        <v/>
      </c>
      <c r="O137" s="24" t="str">
        <f t="shared" si="51"/>
        <v/>
      </c>
      <c r="P137" s="24" t="str">
        <f t="shared" si="51"/>
        <v/>
      </c>
      <c r="Q137" s="24" t="str">
        <f t="shared" si="51"/>
        <v/>
      </c>
      <c r="R137" s="24" t="str">
        <f t="shared" si="51"/>
        <v/>
      </c>
      <c r="S137" s="24" t="str">
        <f t="shared" si="51"/>
        <v/>
      </c>
      <c r="T137" s="24" t="str">
        <f t="shared" si="51"/>
        <v/>
      </c>
      <c r="U137" s="24" t="str">
        <f t="shared" si="52"/>
        <v/>
      </c>
      <c r="V137" s="24" t="str">
        <f t="shared" si="52"/>
        <v/>
      </c>
      <c r="W137" s="24" t="str">
        <f t="shared" si="52"/>
        <v/>
      </c>
      <c r="X137" s="24" t="str">
        <f t="shared" si="52"/>
        <v/>
      </c>
      <c r="Y137" s="24" t="str">
        <f t="shared" si="52"/>
        <v/>
      </c>
      <c r="Z137" s="24" t="str">
        <f t="shared" si="52"/>
        <v/>
      </c>
      <c r="AA137" s="24" t="str">
        <f t="shared" si="52"/>
        <v/>
      </c>
      <c r="AB137" s="24" t="str">
        <f t="shared" si="52"/>
        <v/>
      </c>
      <c r="AC137" s="24" t="str">
        <f t="shared" si="52"/>
        <v/>
      </c>
      <c r="AD137" s="24" t="str">
        <f t="shared" si="52"/>
        <v/>
      </c>
      <c r="AE137" s="24" t="str">
        <f t="shared" si="53"/>
        <v/>
      </c>
      <c r="AF137" s="24" t="str">
        <f t="shared" si="53"/>
        <v/>
      </c>
      <c r="AG137" s="24" t="str">
        <f t="shared" si="53"/>
        <v/>
      </c>
      <c r="AH137" s="24" t="str">
        <f t="shared" si="53"/>
        <v/>
      </c>
      <c r="AI137" s="24" t="str">
        <f t="shared" si="53"/>
        <v/>
      </c>
      <c r="AJ137" s="24" t="str">
        <f t="shared" si="53"/>
        <v/>
      </c>
      <c r="AK137" s="24" t="str">
        <f t="shared" si="53"/>
        <v/>
      </c>
      <c r="AL137" s="24" t="str">
        <f t="shared" si="53"/>
        <v/>
      </c>
      <c r="AM137" s="24" t="str">
        <f t="shared" si="53"/>
        <v/>
      </c>
      <c r="AN137" s="24" t="str">
        <f t="shared" si="53"/>
        <v/>
      </c>
      <c r="AO137" t="str">
        <f>IF($C137="Phase",IF($AR137=0,"",IF(COUNT(E138:INDEX(E$6:E$156,132+$AR137))=0,"",MIN(E138:INDEX(E$6:E$156,132+$AR137)))),IF($E137="","",$E137))</f>
        <v/>
      </c>
      <c r="AP137" t="str">
        <f>IF($C137="Phase",IF($AO137="","",MAX(G138:INDEX(G$6:G$156,132+$AR137))),IF($G137="","",$G137))</f>
        <v/>
      </c>
      <c r="AQ137">
        <f>IF($C137="Phase",IF($AR137=0,0,IF(SUM(F138:INDEX(F$6:F$156,132+$AR137))=0,0,SUMPRODUCT(F138:INDEX(F$6:F$156,132+$AR137),H138:INDEX(H$6:H$156,132+$AR137))/SUM(F138:INDEX(F$6:F$156,132+$AR137)))),N($H137))</f>
        <v>0</v>
      </c>
      <c r="AR137">
        <f>IF($C137&lt;&gt;"Phase",0,IFERROR(MATCH("Phase",$C138:$C$156,0)-1,18))</f>
        <v>0</v>
      </c>
      <c r="AS137" t="str">
        <f t="shared" si="50"/>
        <v/>
      </c>
    </row>
    <row r="138" spans="1:45" x14ac:dyDescent="0.3">
      <c r="A138" s="19"/>
      <c r="B138" s="19"/>
      <c r="C138" s="19"/>
      <c r="D138" s="19"/>
      <c r="E138" s="20"/>
      <c r="F138" s="19"/>
      <c r="G138" s="21" t="str">
        <f>IF($C138="Phase",$AP138,IF(OR($E138="",$F138=""),"",IF(N($F138)&lt;=0,$E138,WORKDAY.INTL($E138,$F138-1,Settings!$B$9,Holidays!$A$4:$A$103))))</f>
        <v/>
      </c>
      <c r="H138" s="22"/>
      <c r="I138" s="23" t="str">
        <f t="shared" ca="1" si="49"/>
        <v/>
      </c>
      <c r="J138" s="19"/>
      <c r="K138" s="24" t="str">
        <f t="shared" si="51"/>
        <v/>
      </c>
      <c r="L138" s="24" t="str">
        <f t="shared" si="51"/>
        <v/>
      </c>
      <c r="M138" s="24" t="str">
        <f t="shared" si="51"/>
        <v/>
      </c>
      <c r="N138" s="24" t="str">
        <f t="shared" si="51"/>
        <v/>
      </c>
      <c r="O138" s="24" t="str">
        <f t="shared" si="51"/>
        <v/>
      </c>
      <c r="P138" s="24" t="str">
        <f t="shared" si="51"/>
        <v/>
      </c>
      <c r="Q138" s="24" t="str">
        <f t="shared" si="51"/>
        <v/>
      </c>
      <c r="R138" s="24" t="str">
        <f t="shared" si="51"/>
        <v/>
      </c>
      <c r="S138" s="24" t="str">
        <f t="shared" si="51"/>
        <v/>
      </c>
      <c r="T138" s="24" t="str">
        <f t="shared" si="51"/>
        <v/>
      </c>
      <c r="U138" s="24" t="str">
        <f t="shared" si="52"/>
        <v/>
      </c>
      <c r="V138" s="24" t="str">
        <f t="shared" si="52"/>
        <v/>
      </c>
      <c r="W138" s="24" t="str">
        <f t="shared" si="52"/>
        <v/>
      </c>
      <c r="X138" s="24" t="str">
        <f t="shared" si="52"/>
        <v/>
      </c>
      <c r="Y138" s="24" t="str">
        <f t="shared" si="52"/>
        <v/>
      </c>
      <c r="Z138" s="24" t="str">
        <f t="shared" si="52"/>
        <v/>
      </c>
      <c r="AA138" s="24" t="str">
        <f t="shared" si="52"/>
        <v/>
      </c>
      <c r="AB138" s="24" t="str">
        <f t="shared" si="52"/>
        <v/>
      </c>
      <c r="AC138" s="24" t="str">
        <f t="shared" si="52"/>
        <v/>
      </c>
      <c r="AD138" s="24" t="str">
        <f t="shared" si="52"/>
        <v/>
      </c>
      <c r="AE138" s="24" t="str">
        <f t="shared" si="53"/>
        <v/>
      </c>
      <c r="AF138" s="24" t="str">
        <f t="shared" si="53"/>
        <v/>
      </c>
      <c r="AG138" s="24" t="str">
        <f t="shared" si="53"/>
        <v/>
      </c>
      <c r="AH138" s="24" t="str">
        <f t="shared" si="53"/>
        <v/>
      </c>
      <c r="AI138" s="24" t="str">
        <f t="shared" si="53"/>
        <v/>
      </c>
      <c r="AJ138" s="24" t="str">
        <f t="shared" si="53"/>
        <v/>
      </c>
      <c r="AK138" s="24" t="str">
        <f t="shared" si="53"/>
        <v/>
      </c>
      <c r="AL138" s="24" t="str">
        <f t="shared" si="53"/>
        <v/>
      </c>
      <c r="AM138" s="24" t="str">
        <f t="shared" si="53"/>
        <v/>
      </c>
      <c r="AN138" s="24" t="str">
        <f t="shared" si="53"/>
        <v/>
      </c>
      <c r="AO138" t="str">
        <f>IF($C138="Phase",IF($AR138=0,"",IF(COUNT(E139:INDEX(E$6:E$156,133+$AR138))=0,"",MIN(E139:INDEX(E$6:E$156,133+$AR138)))),IF($E138="","",$E138))</f>
        <v/>
      </c>
      <c r="AP138" t="str">
        <f>IF($C138="Phase",IF($AO138="","",MAX(G139:INDEX(G$6:G$156,133+$AR138))),IF($G138="","",$G138))</f>
        <v/>
      </c>
      <c r="AQ138">
        <f>IF($C138="Phase",IF($AR138=0,0,IF(SUM(F139:INDEX(F$6:F$156,133+$AR138))=0,0,SUMPRODUCT(F139:INDEX(F$6:F$156,133+$AR138),H139:INDEX(H$6:H$156,133+$AR138))/SUM(F139:INDEX(F$6:F$156,133+$AR138)))),N($H138))</f>
        <v>0</v>
      </c>
      <c r="AR138">
        <f>IF($C138&lt;&gt;"Phase",0,IFERROR(MATCH("Phase",$C139:$C$156,0)-1,17))</f>
        <v>0</v>
      </c>
      <c r="AS138" t="str">
        <f t="shared" si="50"/>
        <v/>
      </c>
    </row>
    <row r="139" spans="1:45" x14ac:dyDescent="0.3">
      <c r="A139" s="19"/>
      <c r="B139" s="19"/>
      <c r="C139" s="19"/>
      <c r="D139" s="19"/>
      <c r="E139" s="20"/>
      <c r="F139" s="19"/>
      <c r="G139" s="21" t="str">
        <f>IF($C139="Phase",$AP139,IF(OR($E139="",$F139=""),"",IF(N($F139)&lt;=0,$E139,WORKDAY.INTL($E139,$F139-1,Settings!$B$9,Holidays!$A$4:$A$103))))</f>
        <v/>
      </c>
      <c r="H139" s="22"/>
      <c r="I139" s="23" t="str">
        <f t="shared" ca="1" si="49"/>
        <v/>
      </c>
      <c r="J139" s="19"/>
      <c r="K139" s="24" t="str">
        <f t="shared" si="51"/>
        <v/>
      </c>
      <c r="L139" s="24" t="str">
        <f t="shared" si="51"/>
        <v/>
      </c>
      <c r="M139" s="24" t="str">
        <f t="shared" si="51"/>
        <v/>
      </c>
      <c r="N139" s="24" t="str">
        <f t="shared" si="51"/>
        <v/>
      </c>
      <c r="O139" s="24" t="str">
        <f t="shared" si="51"/>
        <v/>
      </c>
      <c r="P139" s="24" t="str">
        <f t="shared" si="51"/>
        <v/>
      </c>
      <c r="Q139" s="24" t="str">
        <f t="shared" si="51"/>
        <v/>
      </c>
      <c r="R139" s="24" t="str">
        <f t="shared" si="51"/>
        <v/>
      </c>
      <c r="S139" s="24" t="str">
        <f t="shared" si="51"/>
        <v/>
      </c>
      <c r="T139" s="24" t="str">
        <f t="shared" si="51"/>
        <v/>
      </c>
      <c r="U139" s="24" t="str">
        <f t="shared" si="52"/>
        <v/>
      </c>
      <c r="V139" s="24" t="str">
        <f t="shared" si="52"/>
        <v/>
      </c>
      <c r="W139" s="24" t="str">
        <f t="shared" si="52"/>
        <v/>
      </c>
      <c r="X139" s="24" t="str">
        <f t="shared" si="52"/>
        <v/>
      </c>
      <c r="Y139" s="24" t="str">
        <f t="shared" si="52"/>
        <v/>
      </c>
      <c r="Z139" s="24" t="str">
        <f t="shared" si="52"/>
        <v/>
      </c>
      <c r="AA139" s="24" t="str">
        <f t="shared" si="52"/>
        <v/>
      </c>
      <c r="AB139" s="24" t="str">
        <f t="shared" si="52"/>
        <v/>
      </c>
      <c r="AC139" s="24" t="str">
        <f t="shared" si="52"/>
        <v/>
      </c>
      <c r="AD139" s="24" t="str">
        <f t="shared" si="52"/>
        <v/>
      </c>
      <c r="AE139" s="24" t="str">
        <f t="shared" si="53"/>
        <v/>
      </c>
      <c r="AF139" s="24" t="str">
        <f t="shared" si="53"/>
        <v/>
      </c>
      <c r="AG139" s="24" t="str">
        <f t="shared" si="53"/>
        <v/>
      </c>
      <c r="AH139" s="24" t="str">
        <f t="shared" si="53"/>
        <v/>
      </c>
      <c r="AI139" s="24" t="str">
        <f t="shared" si="53"/>
        <v/>
      </c>
      <c r="AJ139" s="24" t="str">
        <f t="shared" si="53"/>
        <v/>
      </c>
      <c r="AK139" s="24" t="str">
        <f t="shared" si="53"/>
        <v/>
      </c>
      <c r="AL139" s="24" t="str">
        <f t="shared" si="53"/>
        <v/>
      </c>
      <c r="AM139" s="24" t="str">
        <f t="shared" si="53"/>
        <v/>
      </c>
      <c r="AN139" s="24" t="str">
        <f t="shared" si="53"/>
        <v/>
      </c>
      <c r="AO139" t="str">
        <f>IF($C139="Phase",IF($AR139=0,"",IF(COUNT(E140:INDEX(E$6:E$156,134+$AR139))=0,"",MIN(E140:INDEX(E$6:E$156,134+$AR139)))),IF($E139="","",$E139))</f>
        <v/>
      </c>
      <c r="AP139" t="str">
        <f>IF($C139="Phase",IF($AO139="","",MAX(G140:INDEX(G$6:G$156,134+$AR139))),IF($G139="","",$G139))</f>
        <v/>
      </c>
      <c r="AQ139">
        <f>IF($C139="Phase",IF($AR139=0,0,IF(SUM(F140:INDEX(F$6:F$156,134+$AR139))=0,0,SUMPRODUCT(F140:INDEX(F$6:F$156,134+$AR139),H140:INDEX(H$6:H$156,134+$AR139))/SUM(F140:INDEX(F$6:F$156,134+$AR139)))),N($H139))</f>
        <v>0</v>
      </c>
      <c r="AR139">
        <f>IF($C139&lt;&gt;"Phase",0,IFERROR(MATCH("Phase",$C140:$C$156,0)-1,16))</f>
        <v>0</v>
      </c>
      <c r="AS139" t="str">
        <f t="shared" si="50"/>
        <v/>
      </c>
    </row>
    <row r="140" spans="1:45" x14ac:dyDescent="0.3">
      <c r="A140" s="19"/>
      <c r="B140" s="19"/>
      <c r="C140" s="19"/>
      <c r="D140" s="19"/>
      <c r="E140" s="20"/>
      <c r="F140" s="19"/>
      <c r="G140" s="21" t="str">
        <f>IF($C140="Phase",$AP140,IF(OR($E140="",$F140=""),"",IF(N($F140)&lt;=0,$E140,WORKDAY.INTL($E140,$F140-1,Settings!$B$9,Holidays!$A$4:$A$103))))</f>
        <v/>
      </c>
      <c r="H140" s="22"/>
      <c r="I140" s="23" t="str">
        <f t="shared" ca="1" si="49"/>
        <v/>
      </c>
      <c r="J140" s="19"/>
      <c r="K140" s="24" t="str">
        <f t="shared" si="51"/>
        <v/>
      </c>
      <c r="L140" s="24" t="str">
        <f t="shared" si="51"/>
        <v/>
      </c>
      <c r="M140" s="24" t="str">
        <f t="shared" si="51"/>
        <v/>
      </c>
      <c r="N140" s="24" t="str">
        <f t="shared" si="51"/>
        <v/>
      </c>
      <c r="O140" s="24" t="str">
        <f t="shared" si="51"/>
        <v/>
      </c>
      <c r="P140" s="24" t="str">
        <f t="shared" si="51"/>
        <v/>
      </c>
      <c r="Q140" s="24" t="str">
        <f t="shared" si="51"/>
        <v/>
      </c>
      <c r="R140" s="24" t="str">
        <f t="shared" si="51"/>
        <v/>
      </c>
      <c r="S140" s="24" t="str">
        <f t="shared" si="51"/>
        <v/>
      </c>
      <c r="T140" s="24" t="str">
        <f t="shared" si="51"/>
        <v/>
      </c>
      <c r="U140" s="24" t="str">
        <f t="shared" si="52"/>
        <v/>
      </c>
      <c r="V140" s="24" t="str">
        <f t="shared" si="52"/>
        <v/>
      </c>
      <c r="W140" s="24" t="str">
        <f t="shared" si="52"/>
        <v/>
      </c>
      <c r="X140" s="24" t="str">
        <f t="shared" si="52"/>
        <v/>
      </c>
      <c r="Y140" s="24" t="str">
        <f t="shared" si="52"/>
        <v/>
      </c>
      <c r="Z140" s="24" t="str">
        <f t="shared" si="52"/>
        <v/>
      </c>
      <c r="AA140" s="24" t="str">
        <f t="shared" si="52"/>
        <v/>
      </c>
      <c r="AB140" s="24" t="str">
        <f t="shared" si="52"/>
        <v/>
      </c>
      <c r="AC140" s="24" t="str">
        <f t="shared" si="52"/>
        <v/>
      </c>
      <c r="AD140" s="24" t="str">
        <f t="shared" si="52"/>
        <v/>
      </c>
      <c r="AE140" s="24" t="str">
        <f t="shared" si="53"/>
        <v/>
      </c>
      <c r="AF140" s="24" t="str">
        <f t="shared" si="53"/>
        <v/>
      </c>
      <c r="AG140" s="24" t="str">
        <f t="shared" si="53"/>
        <v/>
      </c>
      <c r="AH140" s="24" t="str">
        <f t="shared" si="53"/>
        <v/>
      </c>
      <c r="AI140" s="24" t="str">
        <f t="shared" si="53"/>
        <v/>
      </c>
      <c r="AJ140" s="24" t="str">
        <f t="shared" si="53"/>
        <v/>
      </c>
      <c r="AK140" s="24" t="str">
        <f t="shared" si="53"/>
        <v/>
      </c>
      <c r="AL140" s="24" t="str">
        <f t="shared" si="53"/>
        <v/>
      </c>
      <c r="AM140" s="24" t="str">
        <f t="shared" si="53"/>
        <v/>
      </c>
      <c r="AN140" s="24" t="str">
        <f t="shared" si="53"/>
        <v/>
      </c>
      <c r="AO140" t="str">
        <f>IF($C140="Phase",IF($AR140=0,"",IF(COUNT(E141:INDEX(E$6:E$156,135+$AR140))=0,"",MIN(E141:INDEX(E$6:E$156,135+$AR140)))),IF($E140="","",$E140))</f>
        <v/>
      </c>
      <c r="AP140" t="str">
        <f>IF($C140="Phase",IF($AO140="","",MAX(G141:INDEX(G$6:G$156,135+$AR140))),IF($G140="","",$G140))</f>
        <v/>
      </c>
      <c r="AQ140">
        <f>IF($C140="Phase",IF($AR140=0,0,IF(SUM(F141:INDEX(F$6:F$156,135+$AR140))=0,0,SUMPRODUCT(F141:INDEX(F$6:F$156,135+$AR140),H141:INDEX(H$6:H$156,135+$AR140))/SUM(F141:INDEX(F$6:F$156,135+$AR140)))),N($H140))</f>
        <v>0</v>
      </c>
      <c r="AR140">
        <f>IF($C140&lt;&gt;"Phase",0,IFERROR(MATCH("Phase",$C141:$C$156,0)-1,15))</f>
        <v>0</v>
      </c>
      <c r="AS140" t="str">
        <f t="shared" si="50"/>
        <v/>
      </c>
    </row>
    <row r="141" spans="1:45" x14ac:dyDescent="0.3">
      <c r="A141" s="19"/>
      <c r="B141" s="19"/>
      <c r="C141" s="19"/>
      <c r="D141" s="19"/>
      <c r="E141" s="20"/>
      <c r="F141" s="19"/>
      <c r="G141" s="21" t="str">
        <f>IF($C141="Phase",$AP141,IF(OR($E141="",$F141=""),"",IF(N($F141)&lt;=0,$E141,WORKDAY.INTL($E141,$F141-1,Settings!$B$9,Holidays!$A$4:$A$103))))</f>
        <v/>
      </c>
      <c r="H141" s="22"/>
      <c r="I141" s="23" t="str">
        <f t="shared" ca="1" si="49"/>
        <v/>
      </c>
      <c r="J141" s="19"/>
      <c r="K141" s="24" t="str">
        <f t="shared" si="51"/>
        <v/>
      </c>
      <c r="L141" s="24" t="str">
        <f t="shared" si="51"/>
        <v/>
      </c>
      <c r="M141" s="24" t="str">
        <f t="shared" si="51"/>
        <v/>
      </c>
      <c r="N141" s="24" t="str">
        <f t="shared" si="51"/>
        <v/>
      </c>
      <c r="O141" s="24" t="str">
        <f t="shared" si="51"/>
        <v/>
      </c>
      <c r="P141" s="24" t="str">
        <f t="shared" si="51"/>
        <v/>
      </c>
      <c r="Q141" s="24" t="str">
        <f t="shared" si="51"/>
        <v/>
      </c>
      <c r="R141" s="24" t="str">
        <f t="shared" si="51"/>
        <v/>
      </c>
      <c r="S141" s="24" t="str">
        <f t="shared" si="51"/>
        <v/>
      </c>
      <c r="T141" s="24" t="str">
        <f t="shared" si="51"/>
        <v/>
      </c>
      <c r="U141" s="24" t="str">
        <f t="shared" si="52"/>
        <v/>
      </c>
      <c r="V141" s="24" t="str">
        <f t="shared" si="52"/>
        <v/>
      </c>
      <c r="W141" s="24" t="str">
        <f t="shared" si="52"/>
        <v/>
      </c>
      <c r="X141" s="24" t="str">
        <f t="shared" si="52"/>
        <v/>
      </c>
      <c r="Y141" s="24" t="str">
        <f t="shared" si="52"/>
        <v/>
      </c>
      <c r="Z141" s="24" t="str">
        <f t="shared" si="52"/>
        <v/>
      </c>
      <c r="AA141" s="24" t="str">
        <f t="shared" si="52"/>
        <v/>
      </c>
      <c r="AB141" s="24" t="str">
        <f t="shared" si="52"/>
        <v/>
      </c>
      <c r="AC141" s="24" t="str">
        <f t="shared" si="52"/>
        <v/>
      </c>
      <c r="AD141" s="24" t="str">
        <f t="shared" si="52"/>
        <v/>
      </c>
      <c r="AE141" s="24" t="str">
        <f t="shared" si="53"/>
        <v/>
      </c>
      <c r="AF141" s="24" t="str">
        <f t="shared" si="53"/>
        <v/>
      </c>
      <c r="AG141" s="24" t="str">
        <f t="shared" si="53"/>
        <v/>
      </c>
      <c r="AH141" s="24" t="str">
        <f t="shared" si="53"/>
        <v/>
      </c>
      <c r="AI141" s="24" t="str">
        <f t="shared" si="53"/>
        <v/>
      </c>
      <c r="AJ141" s="24" t="str">
        <f t="shared" si="53"/>
        <v/>
      </c>
      <c r="AK141" s="24" t="str">
        <f t="shared" si="53"/>
        <v/>
      </c>
      <c r="AL141" s="24" t="str">
        <f t="shared" si="53"/>
        <v/>
      </c>
      <c r="AM141" s="24" t="str">
        <f t="shared" si="53"/>
        <v/>
      </c>
      <c r="AN141" s="24" t="str">
        <f t="shared" si="53"/>
        <v/>
      </c>
      <c r="AO141" t="str">
        <f>IF($C141="Phase",IF($AR141=0,"",IF(COUNT(E142:INDEX(E$6:E$156,136+$AR141))=0,"",MIN(E142:INDEX(E$6:E$156,136+$AR141)))),IF($E141="","",$E141))</f>
        <v/>
      </c>
      <c r="AP141" t="str">
        <f>IF($C141="Phase",IF($AO141="","",MAX(G142:INDEX(G$6:G$156,136+$AR141))),IF($G141="","",$G141))</f>
        <v/>
      </c>
      <c r="AQ141">
        <f>IF($C141="Phase",IF($AR141=0,0,IF(SUM(F142:INDEX(F$6:F$156,136+$AR141))=0,0,SUMPRODUCT(F142:INDEX(F$6:F$156,136+$AR141),H142:INDEX(H$6:H$156,136+$AR141))/SUM(F142:INDEX(F$6:F$156,136+$AR141)))),N($H141))</f>
        <v>0</v>
      </c>
      <c r="AR141">
        <f>IF($C141&lt;&gt;"Phase",0,IFERROR(MATCH("Phase",$C142:$C$156,0)-1,14))</f>
        <v>0</v>
      </c>
      <c r="AS141" t="str">
        <f t="shared" si="50"/>
        <v/>
      </c>
    </row>
    <row r="142" spans="1:45" x14ac:dyDescent="0.3">
      <c r="A142" s="19"/>
      <c r="B142" s="19"/>
      <c r="C142" s="19"/>
      <c r="D142" s="19"/>
      <c r="E142" s="20"/>
      <c r="F142" s="19"/>
      <c r="G142" s="21" t="str">
        <f>IF($C142="Phase",$AP142,IF(OR($E142="",$F142=""),"",IF(N($F142)&lt;=0,$E142,WORKDAY.INTL($E142,$F142-1,Settings!$B$9,Holidays!$A$4:$A$103))))</f>
        <v/>
      </c>
      <c r="H142" s="22"/>
      <c r="I142" s="23" t="str">
        <f t="shared" ca="1" si="49"/>
        <v/>
      </c>
      <c r="J142" s="19"/>
      <c r="K142" s="24" t="str">
        <f t="shared" si="51"/>
        <v/>
      </c>
      <c r="L142" s="24" t="str">
        <f t="shared" si="51"/>
        <v/>
      </c>
      <c r="M142" s="24" t="str">
        <f t="shared" si="51"/>
        <v/>
      </c>
      <c r="N142" s="24" t="str">
        <f t="shared" si="51"/>
        <v/>
      </c>
      <c r="O142" s="24" t="str">
        <f t="shared" si="51"/>
        <v/>
      </c>
      <c r="P142" s="24" t="str">
        <f t="shared" si="51"/>
        <v/>
      </c>
      <c r="Q142" s="24" t="str">
        <f t="shared" si="51"/>
        <v/>
      </c>
      <c r="R142" s="24" t="str">
        <f t="shared" si="51"/>
        <v/>
      </c>
      <c r="S142" s="24" t="str">
        <f t="shared" si="51"/>
        <v/>
      </c>
      <c r="T142" s="24" t="str">
        <f t="shared" si="51"/>
        <v/>
      </c>
      <c r="U142" s="24" t="str">
        <f t="shared" si="52"/>
        <v/>
      </c>
      <c r="V142" s="24" t="str">
        <f t="shared" si="52"/>
        <v/>
      </c>
      <c r="W142" s="24" t="str">
        <f t="shared" si="52"/>
        <v/>
      </c>
      <c r="X142" s="24" t="str">
        <f t="shared" si="52"/>
        <v/>
      </c>
      <c r="Y142" s="24" t="str">
        <f t="shared" si="52"/>
        <v/>
      </c>
      <c r="Z142" s="24" t="str">
        <f t="shared" si="52"/>
        <v/>
      </c>
      <c r="AA142" s="24" t="str">
        <f t="shared" si="52"/>
        <v/>
      </c>
      <c r="AB142" s="24" t="str">
        <f t="shared" si="52"/>
        <v/>
      </c>
      <c r="AC142" s="24" t="str">
        <f t="shared" si="52"/>
        <v/>
      </c>
      <c r="AD142" s="24" t="str">
        <f t="shared" si="52"/>
        <v/>
      </c>
      <c r="AE142" s="24" t="str">
        <f t="shared" si="53"/>
        <v/>
      </c>
      <c r="AF142" s="24" t="str">
        <f t="shared" si="53"/>
        <v/>
      </c>
      <c r="AG142" s="24" t="str">
        <f t="shared" si="53"/>
        <v/>
      </c>
      <c r="AH142" s="24" t="str">
        <f t="shared" si="53"/>
        <v/>
      </c>
      <c r="AI142" s="24" t="str">
        <f t="shared" si="53"/>
        <v/>
      </c>
      <c r="AJ142" s="24" t="str">
        <f t="shared" si="53"/>
        <v/>
      </c>
      <c r="AK142" s="24" t="str">
        <f t="shared" si="53"/>
        <v/>
      </c>
      <c r="AL142" s="24" t="str">
        <f t="shared" si="53"/>
        <v/>
      </c>
      <c r="AM142" s="24" t="str">
        <f t="shared" si="53"/>
        <v/>
      </c>
      <c r="AN142" s="24" t="str">
        <f t="shared" si="53"/>
        <v/>
      </c>
      <c r="AO142" t="str">
        <f>IF($C142="Phase",IF($AR142=0,"",IF(COUNT(E143:INDEX(E$6:E$156,137+$AR142))=0,"",MIN(E143:INDEX(E$6:E$156,137+$AR142)))),IF($E142="","",$E142))</f>
        <v/>
      </c>
      <c r="AP142" t="str">
        <f>IF($C142="Phase",IF($AO142="","",MAX(G143:INDEX(G$6:G$156,137+$AR142))),IF($G142="","",$G142))</f>
        <v/>
      </c>
      <c r="AQ142">
        <f>IF($C142="Phase",IF($AR142=0,0,IF(SUM(F143:INDEX(F$6:F$156,137+$AR142))=0,0,SUMPRODUCT(F143:INDEX(F$6:F$156,137+$AR142),H143:INDEX(H$6:H$156,137+$AR142))/SUM(F143:INDEX(F$6:F$156,137+$AR142)))),N($H142))</f>
        <v>0</v>
      </c>
      <c r="AR142">
        <f>IF($C142&lt;&gt;"Phase",0,IFERROR(MATCH("Phase",$C143:$C$156,0)-1,13))</f>
        <v>0</v>
      </c>
      <c r="AS142" t="str">
        <f t="shared" si="50"/>
        <v/>
      </c>
    </row>
    <row r="143" spans="1:45" x14ac:dyDescent="0.3">
      <c r="A143" s="19"/>
      <c r="B143" s="19"/>
      <c r="C143" s="19"/>
      <c r="D143" s="19"/>
      <c r="E143" s="20"/>
      <c r="F143" s="19"/>
      <c r="G143" s="21" t="str">
        <f>IF($C143="Phase",$AP143,IF(OR($E143="",$F143=""),"",IF(N($F143)&lt;=0,$E143,WORKDAY.INTL($E143,$F143-1,Settings!$B$9,Holidays!$A$4:$A$103))))</f>
        <v/>
      </c>
      <c r="H143" s="22"/>
      <c r="I143" s="23" t="str">
        <f t="shared" ca="1" si="49"/>
        <v/>
      </c>
      <c r="J143" s="19"/>
      <c r="K143" s="24" t="str">
        <f t="shared" si="51"/>
        <v/>
      </c>
      <c r="L143" s="24" t="str">
        <f t="shared" si="51"/>
        <v/>
      </c>
      <c r="M143" s="24" t="str">
        <f t="shared" si="51"/>
        <v/>
      </c>
      <c r="N143" s="24" t="str">
        <f t="shared" si="51"/>
        <v/>
      </c>
      <c r="O143" s="24" t="str">
        <f t="shared" si="51"/>
        <v/>
      </c>
      <c r="P143" s="24" t="str">
        <f t="shared" si="51"/>
        <v/>
      </c>
      <c r="Q143" s="24" t="str">
        <f t="shared" si="51"/>
        <v/>
      </c>
      <c r="R143" s="24" t="str">
        <f t="shared" si="51"/>
        <v/>
      </c>
      <c r="S143" s="24" t="str">
        <f t="shared" si="51"/>
        <v/>
      </c>
      <c r="T143" s="24" t="str">
        <f t="shared" si="51"/>
        <v/>
      </c>
      <c r="U143" s="24" t="str">
        <f t="shared" si="52"/>
        <v/>
      </c>
      <c r="V143" s="24" t="str">
        <f t="shared" si="52"/>
        <v/>
      </c>
      <c r="W143" s="24" t="str">
        <f t="shared" si="52"/>
        <v/>
      </c>
      <c r="X143" s="24" t="str">
        <f t="shared" si="52"/>
        <v/>
      </c>
      <c r="Y143" s="24" t="str">
        <f t="shared" si="52"/>
        <v/>
      </c>
      <c r="Z143" s="24" t="str">
        <f t="shared" si="52"/>
        <v/>
      </c>
      <c r="AA143" s="24" t="str">
        <f t="shared" si="52"/>
        <v/>
      </c>
      <c r="AB143" s="24" t="str">
        <f t="shared" si="52"/>
        <v/>
      </c>
      <c r="AC143" s="24" t="str">
        <f t="shared" si="52"/>
        <v/>
      </c>
      <c r="AD143" s="24" t="str">
        <f t="shared" si="52"/>
        <v/>
      </c>
      <c r="AE143" s="24" t="str">
        <f t="shared" si="53"/>
        <v/>
      </c>
      <c r="AF143" s="24" t="str">
        <f t="shared" si="53"/>
        <v/>
      </c>
      <c r="AG143" s="24" t="str">
        <f t="shared" si="53"/>
        <v/>
      </c>
      <c r="AH143" s="24" t="str">
        <f t="shared" si="53"/>
        <v/>
      </c>
      <c r="AI143" s="24" t="str">
        <f t="shared" si="53"/>
        <v/>
      </c>
      <c r="AJ143" s="24" t="str">
        <f t="shared" si="53"/>
        <v/>
      </c>
      <c r="AK143" s="24" t="str">
        <f t="shared" si="53"/>
        <v/>
      </c>
      <c r="AL143" s="24" t="str">
        <f t="shared" si="53"/>
        <v/>
      </c>
      <c r="AM143" s="24" t="str">
        <f t="shared" si="53"/>
        <v/>
      </c>
      <c r="AN143" s="24" t="str">
        <f t="shared" si="53"/>
        <v/>
      </c>
      <c r="AO143" t="str">
        <f>IF($C143="Phase",IF($AR143=0,"",IF(COUNT(E144:INDEX(E$6:E$156,138+$AR143))=0,"",MIN(E144:INDEX(E$6:E$156,138+$AR143)))),IF($E143="","",$E143))</f>
        <v/>
      </c>
      <c r="AP143" t="str">
        <f>IF($C143="Phase",IF($AO143="","",MAX(G144:INDEX(G$6:G$156,138+$AR143))),IF($G143="","",$G143))</f>
        <v/>
      </c>
      <c r="AQ143">
        <f>IF($C143="Phase",IF($AR143=0,0,IF(SUM(F144:INDEX(F$6:F$156,138+$AR143))=0,0,SUMPRODUCT(F144:INDEX(F$6:F$156,138+$AR143),H144:INDEX(H$6:H$156,138+$AR143))/SUM(F144:INDEX(F$6:F$156,138+$AR143)))),N($H143))</f>
        <v>0</v>
      </c>
      <c r="AR143">
        <f>IF($C143&lt;&gt;"Phase",0,IFERROR(MATCH("Phase",$C144:$C$156,0)-1,12))</f>
        <v>0</v>
      </c>
      <c r="AS143" t="str">
        <f t="shared" si="50"/>
        <v/>
      </c>
    </row>
    <row r="144" spans="1:45" x14ac:dyDescent="0.3">
      <c r="A144" s="19"/>
      <c r="B144" s="19"/>
      <c r="C144" s="19"/>
      <c r="D144" s="19"/>
      <c r="E144" s="20"/>
      <c r="F144" s="19"/>
      <c r="G144" s="21" t="str">
        <f>IF($C144="Phase",$AP144,IF(OR($E144="",$F144=""),"",IF(N($F144)&lt;=0,$E144,WORKDAY.INTL($E144,$F144-1,Settings!$B$9,Holidays!$A$4:$A$103))))</f>
        <v/>
      </c>
      <c r="H144" s="22"/>
      <c r="I144" s="23" t="str">
        <f t="shared" ca="1" si="49"/>
        <v/>
      </c>
      <c r="J144" s="19"/>
      <c r="K144" s="24" t="str">
        <f t="shared" si="51"/>
        <v/>
      </c>
      <c r="L144" s="24" t="str">
        <f t="shared" si="51"/>
        <v/>
      </c>
      <c r="M144" s="24" t="str">
        <f t="shared" si="51"/>
        <v/>
      </c>
      <c r="N144" s="24" t="str">
        <f t="shared" si="51"/>
        <v/>
      </c>
      <c r="O144" s="24" t="str">
        <f t="shared" si="51"/>
        <v/>
      </c>
      <c r="P144" s="24" t="str">
        <f t="shared" si="51"/>
        <v/>
      </c>
      <c r="Q144" s="24" t="str">
        <f t="shared" si="51"/>
        <v/>
      </c>
      <c r="R144" s="24" t="str">
        <f t="shared" si="51"/>
        <v/>
      </c>
      <c r="S144" s="24" t="str">
        <f t="shared" si="51"/>
        <v/>
      </c>
      <c r="T144" s="24" t="str">
        <f t="shared" si="51"/>
        <v/>
      </c>
      <c r="U144" s="24" t="str">
        <f t="shared" si="52"/>
        <v/>
      </c>
      <c r="V144" s="24" t="str">
        <f t="shared" si="52"/>
        <v/>
      </c>
      <c r="W144" s="24" t="str">
        <f t="shared" si="52"/>
        <v/>
      </c>
      <c r="X144" s="24" t="str">
        <f t="shared" si="52"/>
        <v/>
      </c>
      <c r="Y144" s="24" t="str">
        <f t="shared" si="52"/>
        <v/>
      </c>
      <c r="Z144" s="24" t="str">
        <f t="shared" si="52"/>
        <v/>
      </c>
      <c r="AA144" s="24" t="str">
        <f t="shared" si="52"/>
        <v/>
      </c>
      <c r="AB144" s="24" t="str">
        <f t="shared" si="52"/>
        <v/>
      </c>
      <c r="AC144" s="24" t="str">
        <f t="shared" si="52"/>
        <v/>
      </c>
      <c r="AD144" s="24" t="str">
        <f t="shared" si="52"/>
        <v/>
      </c>
      <c r="AE144" s="24" t="str">
        <f t="shared" si="53"/>
        <v/>
      </c>
      <c r="AF144" s="24" t="str">
        <f t="shared" si="53"/>
        <v/>
      </c>
      <c r="AG144" s="24" t="str">
        <f t="shared" si="53"/>
        <v/>
      </c>
      <c r="AH144" s="24" t="str">
        <f t="shared" si="53"/>
        <v/>
      </c>
      <c r="AI144" s="24" t="str">
        <f t="shared" si="53"/>
        <v/>
      </c>
      <c r="AJ144" s="24" t="str">
        <f t="shared" si="53"/>
        <v/>
      </c>
      <c r="AK144" s="24" t="str">
        <f t="shared" si="53"/>
        <v/>
      </c>
      <c r="AL144" s="24" t="str">
        <f t="shared" si="53"/>
        <v/>
      </c>
      <c r="AM144" s="24" t="str">
        <f t="shared" si="53"/>
        <v/>
      </c>
      <c r="AN144" s="24" t="str">
        <f t="shared" si="53"/>
        <v/>
      </c>
      <c r="AO144" t="str">
        <f>IF($C144="Phase",IF($AR144=0,"",IF(COUNT(E145:INDEX(E$6:E$156,139+$AR144))=0,"",MIN(E145:INDEX(E$6:E$156,139+$AR144)))),IF($E144="","",$E144))</f>
        <v/>
      </c>
      <c r="AP144" t="str">
        <f>IF($C144="Phase",IF($AO144="","",MAX(G145:INDEX(G$6:G$156,139+$AR144))),IF($G144="","",$G144))</f>
        <v/>
      </c>
      <c r="AQ144">
        <f>IF($C144="Phase",IF($AR144=0,0,IF(SUM(F145:INDEX(F$6:F$156,139+$AR144))=0,0,SUMPRODUCT(F145:INDEX(F$6:F$156,139+$AR144),H145:INDEX(H$6:H$156,139+$AR144))/SUM(F145:INDEX(F$6:F$156,139+$AR144)))),N($H144))</f>
        <v>0</v>
      </c>
      <c r="AR144">
        <f>IF($C144&lt;&gt;"Phase",0,IFERROR(MATCH("Phase",$C145:$C$156,0)-1,11))</f>
        <v>0</v>
      </c>
      <c r="AS144" t="str">
        <f t="shared" si="50"/>
        <v/>
      </c>
    </row>
    <row r="145" spans="1:45" x14ac:dyDescent="0.3">
      <c r="A145" s="19"/>
      <c r="B145" s="19"/>
      <c r="C145" s="19"/>
      <c r="D145" s="19"/>
      <c r="E145" s="20"/>
      <c r="F145" s="19"/>
      <c r="G145" s="21" t="str">
        <f>IF($C145="Phase",$AP145,IF(OR($E145="",$F145=""),"",IF(N($F145)&lt;=0,$E145,WORKDAY.INTL($E145,$F145-1,Settings!$B$9,Holidays!$A$4:$A$103))))</f>
        <v/>
      </c>
      <c r="H145" s="22"/>
      <c r="I145" s="23" t="str">
        <f t="shared" ca="1" si="49"/>
        <v/>
      </c>
      <c r="J145" s="19"/>
      <c r="K145" s="24" t="str">
        <f t="shared" si="51"/>
        <v/>
      </c>
      <c r="L145" s="24" t="str">
        <f t="shared" si="51"/>
        <v/>
      </c>
      <c r="M145" s="24" t="str">
        <f t="shared" si="51"/>
        <v/>
      </c>
      <c r="N145" s="24" t="str">
        <f t="shared" si="51"/>
        <v/>
      </c>
      <c r="O145" s="24" t="str">
        <f t="shared" si="51"/>
        <v/>
      </c>
      <c r="P145" s="24" t="str">
        <f t="shared" si="51"/>
        <v/>
      </c>
      <c r="Q145" s="24" t="str">
        <f t="shared" si="51"/>
        <v/>
      </c>
      <c r="R145" s="24" t="str">
        <f t="shared" si="51"/>
        <v/>
      </c>
      <c r="S145" s="24" t="str">
        <f t="shared" si="51"/>
        <v/>
      </c>
      <c r="T145" s="24" t="str">
        <f t="shared" si="51"/>
        <v/>
      </c>
      <c r="U145" s="24" t="str">
        <f t="shared" si="52"/>
        <v/>
      </c>
      <c r="V145" s="24" t="str">
        <f t="shared" si="52"/>
        <v/>
      </c>
      <c r="W145" s="24" t="str">
        <f t="shared" si="52"/>
        <v/>
      </c>
      <c r="X145" s="24" t="str">
        <f t="shared" si="52"/>
        <v/>
      </c>
      <c r="Y145" s="24" t="str">
        <f t="shared" si="52"/>
        <v/>
      </c>
      <c r="Z145" s="24" t="str">
        <f t="shared" si="52"/>
        <v/>
      </c>
      <c r="AA145" s="24" t="str">
        <f t="shared" si="52"/>
        <v/>
      </c>
      <c r="AB145" s="24" t="str">
        <f t="shared" si="52"/>
        <v/>
      </c>
      <c r="AC145" s="24" t="str">
        <f t="shared" si="52"/>
        <v/>
      </c>
      <c r="AD145" s="24" t="str">
        <f t="shared" si="52"/>
        <v/>
      </c>
      <c r="AE145" s="24" t="str">
        <f t="shared" si="53"/>
        <v/>
      </c>
      <c r="AF145" s="24" t="str">
        <f t="shared" si="53"/>
        <v/>
      </c>
      <c r="AG145" s="24" t="str">
        <f t="shared" si="53"/>
        <v/>
      </c>
      <c r="AH145" s="24" t="str">
        <f t="shared" si="53"/>
        <v/>
      </c>
      <c r="AI145" s="24" t="str">
        <f t="shared" si="53"/>
        <v/>
      </c>
      <c r="AJ145" s="24" t="str">
        <f t="shared" si="53"/>
        <v/>
      </c>
      <c r="AK145" s="24" t="str">
        <f t="shared" si="53"/>
        <v/>
      </c>
      <c r="AL145" s="24" t="str">
        <f t="shared" si="53"/>
        <v/>
      </c>
      <c r="AM145" s="24" t="str">
        <f t="shared" si="53"/>
        <v/>
      </c>
      <c r="AN145" s="24" t="str">
        <f t="shared" si="53"/>
        <v/>
      </c>
      <c r="AO145" t="str">
        <f>IF($C145="Phase",IF($AR145=0,"",IF(COUNT(E146:INDEX(E$6:E$156,140+$AR145))=0,"",MIN(E146:INDEX(E$6:E$156,140+$AR145)))),IF($E145="","",$E145))</f>
        <v/>
      </c>
      <c r="AP145" t="str">
        <f>IF($C145="Phase",IF($AO145="","",MAX(G146:INDEX(G$6:G$156,140+$AR145))),IF($G145="","",$G145))</f>
        <v/>
      </c>
      <c r="AQ145">
        <f>IF($C145="Phase",IF($AR145=0,0,IF(SUM(F146:INDEX(F$6:F$156,140+$AR145))=0,0,SUMPRODUCT(F146:INDEX(F$6:F$156,140+$AR145),H146:INDEX(H$6:H$156,140+$AR145))/SUM(F146:INDEX(F$6:F$156,140+$AR145)))),N($H145))</f>
        <v>0</v>
      </c>
      <c r="AR145">
        <f>IF($C145&lt;&gt;"Phase",0,IFERROR(MATCH("Phase",$C146:$C$156,0)-1,10))</f>
        <v>0</v>
      </c>
      <c r="AS145" t="str">
        <f t="shared" si="50"/>
        <v/>
      </c>
    </row>
    <row r="146" spans="1:45" x14ac:dyDescent="0.3">
      <c r="A146" s="19"/>
      <c r="B146" s="19"/>
      <c r="C146" s="19"/>
      <c r="D146" s="19"/>
      <c r="E146" s="20"/>
      <c r="F146" s="19"/>
      <c r="G146" s="21" t="str">
        <f>IF($C146="Phase",$AP146,IF(OR($E146="",$F146=""),"",IF(N($F146)&lt;=0,$E146,WORKDAY.INTL($E146,$F146-1,Settings!$B$9,Holidays!$A$4:$A$103))))</f>
        <v/>
      </c>
      <c r="H146" s="22"/>
      <c r="I146" s="23" t="str">
        <f t="shared" ca="1" si="49"/>
        <v/>
      </c>
      <c r="J146" s="19"/>
      <c r="K146" s="24" t="str">
        <f t="shared" ref="K146:T155" si="54">IF(AND($C146="Milestone",$AP146&lt;&gt;""),IF(AND($AP146&gt;=K$5,$AP146&lt;K$5+$AO$3),"◆",""),"")</f>
        <v/>
      </c>
      <c r="L146" s="24" t="str">
        <f t="shared" si="54"/>
        <v/>
      </c>
      <c r="M146" s="24" t="str">
        <f t="shared" si="54"/>
        <v/>
      </c>
      <c r="N146" s="24" t="str">
        <f t="shared" si="54"/>
        <v/>
      </c>
      <c r="O146" s="24" t="str">
        <f t="shared" si="54"/>
        <v/>
      </c>
      <c r="P146" s="24" t="str">
        <f t="shared" si="54"/>
        <v/>
      </c>
      <c r="Q146" s="24" t="str">
        <f t="shared" si="54"/>
        <v/>
      </c>
      <c r="R146" s="24" t="str">
        <f t="shared" si="54"/>
        <v/>
      </c>
      <c r="S146" s="24" t="str">
        <f t="shared" si="54"/>
        <v/>
      </c>
      <c r="T146" s="24" t="str">
        <f t="shared" si="54"/>
        <v/>
      </c>
      <c r="U146" s="24" t="str">
        <f t="shared" ref="U146:AD155" si="55">IF(AND($C146="Milestone",$AP146&lt;&gt;""),IF(AND($AP146&gt;=U$5,$AP146&lt;U$5+$AO$3),"◆",""),"")</f>
        <v/>
      </c>
      <c r="V146" s="24" t="str">
        <f t="shared" si="55"/>
        <v/>
      </c>
      <c r="W146" s="24" t="str">
        <f t="shared" si="55"/>
        <v/>
      </c>
      <c r="X146" s="24" t="str">
        <f t="shared" si="55"/>
        <v/>
      </c>
      <c r="Y146" s="24" t="str">
        <f t="shared" si="55"/>
        <v/>
      </c>
      <c r="Z146" s="24" t="str">
        <f t="shared" si="55"/>
        <v/>
      </c>
      <c r="AA146" s="24" t="str">
        <f t="shared" si="55"/>
        <v/>
      </c>
      <c r="AB146" s="24" t="str">
        <f t="shared" si="55"/>
        <v/>
      </c>
      <c r="AC146" s="24" t="str">
        <f t="shared" si="55"/>
        <v/>
      </c>
      <c r="AD146" s="24" t="str">
        <f t="shared" si="55"/>
        <v/>
      </c>
      <c r="AE146" s="24" t="str">
        <f t="shared" ref="AE146:AN155" si="56">IF(AND($C146="Milestone",$AP146&lt;&gt;""),IF(AND($AP146&gt;=AE$5,$AP146&lt;AE$5+$AO$3),"◆",""),"")</f>
        <v/>
      </c>
      <c r="AF146" s="24" t="str">
        <f t="shared" si="56"/>
        <v/>
      </c>
      <c r="AG146" s="24" t="str">
        <f t="shared" si="56"/>
        <v/>
      </c>
      <c r="AH146" s="24" t="str">
        <f t="shared" si="56"/>
        <v/>
      </c>
      <c r="AI146" s="24" t="str">
        <f t="shared" si="56"/>
        <v/>
      </c>
      <c r="AJ146" s="24" t="str">
        <f t="shared" si="56"/>
        <v/>
      </c>
      <c r="AK146" s="24" t="str">
        <f t="shared" si="56"/>
        <v/>
      </c>
      <c r="AL146" s="24" t="str">
        <f t="shared" si="56"/>
        <v/>
      </c>
      <c r="AM146" s="24" t="str">
        <f t="shared" si="56"/>
        <v/>
      </c>
      <c r="AN146" s="24" t="str">
        <f t="shared" si="56"/>
        <v/>
      </c>
      <c r="AO146" t="str">
        <f>IF($C146="Phase",IF($AR146=0,"",IF(COUNT(E147:INDEX(E$6:E$156,141+$AR146))=0,"",MIN(E147:INDEX(E$6:E$156,141+$AR146)))),IF($E146="","",$E146))</f>
        <v/>
      </c>
      <c r="AP146" t="str">
        <f>IF($C146="Phase",IF($AO146="","",MAX(G147:INDEX(G$6:G$156,141+$AR146))),IF($G146="","",$G146))</f>
        <v/>
      </c>
      <c r="AQ146">
        <f>IF($C146="Phase",IF($AR146=0,0,IF(SUM(F147:INDEX(F$6:F$156,141+$AR146))=0,0,SUMPRODUCT(F147:INDEX(F$6:F$156,141+$AR146),H147:INDEX(H$6:H$156,141+$AR146))/SUM(F147:INDEX(F$6:F$156,141+$AR146)))),N($H146))</f>
        <v>0</v>
      </c>
      <c r="AR146">
        <f>IF($C146&lt;&gt;"Phase",0,IFERROR(MATCH("Phase",$C147:$C$156,0)-1,9))</f>
        <v>0</v>
      </c>
      <c r="AS146" t="str">
        <f t="shared" si="50"/>
        <v/>
      </c>
    </row>
    <row r="147" spans="1:45" x14ac:dyDescent="0.3">
      <c r="A147" s="19"/>
      <c r="B147" s="19"/>
      <c r="C147" s="19"/>
      <c r="D147" s="19"/>
      <c r="E147" s="20"/>
      <c r="F147" s="19"/>
      <c r="G147" s="21" t="str">
        <f>IF($C147="Phase",$AP147,IF(OR($E147="",$F147=""),"",IF(N($F147)&lt;=0,$E147,WORKDAY.INTL($E147,$F147-1,Settings!$B$9,Holidays!$A$4:$A$103))))</f>
        <v/>
      </c>
      <c r="H147" s="22"/>
      <c r="I147" s="23" t="str">
        <f t="shared" ca="1" si="49"/>
        <v/>
      </c>
      <c r="J147" s="19"/>
      <c r="K147" s="24" t="str">
        <f t="shared" si="54"/>
        <v/>
      </c>
      <c r="L147" s="24" t="str">
        <f t="shared" si="54"/>
        <v/>
      </c>
      <c r="M147" s="24" t="str">
        <f t="shared" si="54"/>
        <v/>
      </c>
      <c r="N147" s="24" t="str">
        <f t="shared" si="54"/>
        <v/>
      </c>
      <c r="O147" s="24" t="str">
        <f t="shared" si="54"/>
        <v/>
      </c>
      <c r="P147" s="24" t="str">
        <f t="shared" si="54"/>
        <v/>
      </c>
      <c r="Q147" s="24" t="str">
        <f t="shared" si="54"/>
        <v/>
      </c>
      <c r="R147" s="24" t="str">
        <f t="shared" si="54"/>
        <v/>
      </c>
      <c r="S147" s="24" t="str">
        <f t="shared" si="54"/>
        <v/>
      </c>
      <c r="T147" s="24" t="str">
        <f t="shared" si="54"/>
        <v/>
      </c>
      <c r="U147" s="24" t="str">
        <f t="shared" si="55"/>
        <v/>
      </c>
      <c r="V147" s="24" t="str">
        <f t="shared" si="55"/>
        <v/>
      </c>
      <c r="W147" s="24" t="str">
        <f t="shared" si="55"/>
        <v/>
      </c>
      <c r="X147" s="24" t="str">
        <f t="shared" si="55"/>
        <v/>
      </c>
      <c r="Y147" s="24" t="str">
        <f t="shared" si="55"/>
        <v/>
      </c>
      <c r="Z147" s="24" t="str">
        <f t="shared" si="55"/>
        <v/>
      </c>
      <c r="AA147" s="24" t="str">
        <f t="shared" si="55"/>
        <v/>
      </c>
      <c r="AB147" s="24" t="str">
        <f t="shared" si="55"/>
        <v/>
      </c>
      <c r="AC147" s="24" t="str">
        <f t="shared" si="55"/>
        <v/>
      </c>
      <c r="AD147" s="24" t="str">
        <f t="shared" si="55"/>
        <v/>
      </c>
      <c r="AE147" s="24" t="str">
        <f t="shared" si="56"/>
        <v/>
      </c>
      <c r="AF147" s="24" t="str">
        <f t="shared" si="56"/>
        <v/>
      </c>
      <c r="AG147" s="24" t="str">
        <f t="shared" si="56"/>
        <v/>
      </c>
      <c r="AH147" s="24" t="str">
        <f t="shared" si="56"/>
        <v/>
      </c>
      <c r="AI147" s="24" t="str">
        <f t="shared" si="56"/>
        <v/>
      </c>
      <c r="AJ147" s="24" t="str">
        <f t="shared" si="56"/>
        <v/>
      </c>
      <c r="AK147" s="24" t="str">
        <f t="shared" si="56"/>
        <v/>
      </c>
      <c r="AL147" s="24" t="str">
        <f t="shared" si="56"/>
        <v/>
      </c>
      <c r="AM147" s="24" t="str">
        <f t="shared" si="56"/>
        <v/>
      </c>
      <c r="AN147" s="24" t="str">
        <f t="shared" si="56"/>
        <v/>
      </c>
      <c r="AO147" t="str">
        <f>IF($C147="Phase",IF($AR147=0,"",IF(COUNT(E148:INDEX(E$6:E$156,142+$AR147))=0,"",MIN(E148:INDEX(E$6:E$156,142+$AR147)))),IF($E147="","",$E147))</f>
        <v/>
      </c>
      <c r="AP147" t="str">
        <f>IF($C147="Phase",IF($AO147="","",MAX(G148:INDEX(G$6:G$156,142+$AR147))),IF($G147="","",$G147))</f>
        <v/>
      </c>
      <c r="AQ147">
        <f>IF($C147="Phase",IF($AR147=0,0,IF(SUM(F148:INDEX(F$6:F$156,142+$AR147))=0,0,SUMPRODUCT(F148:INDEX(F$6:F$156,142+$AR147),H148:INDEX(H$6:H$156,142+$AR147))/SUM(F148:INDEX(F$6:F$156,142+$AR147)))),N($H147))</f>
        <v>0</v>
      </c>
      <c r="AR147">
        <f>IF($C147&lt;&gt;"Phase",0,IFERROR(MATCH("Phase",$C148:$C$156,0)-1,8))</f>
        <v>0</v>
      </c>
      <c r="AS147" t="str">
        <f t="shared" si="50"/>
        <v/>
      </c>
    </row>
    <row r="148" spans="1:45" x14ac:dyDescent="0.3">
      <c r="A148" s="19"/>
      <c r="B148" s="19"/>
      <c r="C148" s="19"/>
      <c r="D148" s="19"/>
      <c r="E148" s="20"/>
      <c r="F148" s="19"/>
      <c r="G148" s="21" t="str">
        <f>IF($C148="Phase",$AP148,IF(OR($E148="",$F148=""),"",IF(N($F148)&lt;=0,$E148,WORKDAY.INTL($E148,$F148-1,Settings!$B$9,Holidays!$A$4:$A$103))))</f>
        <v/>
      </c>
      <c r="H148" s="22"/>
      <c r="I148" s="23" t="str">
        <f t="shared" ca="1" si="49"/>
        <v/>
      </c>
      <c r="J148" s="19"/>
      <c r="K148" s="24" t="str">
        <f t="shared" si="54"/>
        <v/>
      </c>
      <c r="L148" s="24" t="str">
        <f t="shared" si="54"/>
        <v/>
      </c>
      <c r="M148" s="24" t="str">
        <f t="shared" si="54"/>
        <v/>
      </c>
      <c r="N148" s="24" t="str">
        <f t="shared" si="54"/>
        <v/>
      </c>
      <c r="O148" s="24" t="str">
        <f t="shared" si="54"/>
        <v/>
      </c>
      <c r="P148" s="24" t="str">
        <f t="shared" si="54"/>
        <v/>
      </c>
      <c r="Q148" s="24" t="str">
        <f t="shared" si="54"/>
        <v/>
      </c>
      <c r="R148" s="24" t="str">
        <f t="shared" si="54"/>
        <v/>
      </c>
      <c r="S148" s="24" t="str">
        <f t="shared" si="54"/>
        <v/>
      </c>
      <c r="T148" s="24" t="str">
        <f t="shared" si="54"/>
        <v/>
      </c>
      <c r="U148" s="24" t="str">
        <f t="shared" si="55"/>
        <v/>
      </c>
      <c r="V148" s="24" t="str">
        <f t="shared" si="55"/>
        <v/>
      </c>
      <c r="W148" s="24" t="str">
        <f t="shared" si="55"/>
        <v/>
      </c>
      <c r="X148" s="24" t="str">
        <f t="shared" si="55"/>
        <v/>
      </c>
      <c r="Y148" s="24" t="str">
        <f t="shared" si="55"/>
        <v/>
      </c>
      <c r="Z148" s="24" t="str">
        <f t="shared" si="55"/>
        <v/>
      </c>
      <c r="AA148" s="24" t="str">
        <f t="shared" si="55"/>
        <v/>
      </c>
      <c r="AB148" s="24" t="str">
        <f t="shared" si="55"/>
        <v/>
      </c>
      <c r="AC148" s="24" t="str">
        <f t="shared" si="55"/>
        <v/>
      </c>
      <c r="AD148" s="24" t="str">
        <f t="shared" si="55"/>
        <v/>
      </c>
      <c r="AE148" s="24" t="str">
        <f t="shared" si="56"/>
        <v/>
      </c>
      <c r="AF148" s="24" t="str">
        <f t="shared" si="56"/>
        <v/>
      </c>
      <c r="AG148" s="24" t="str">
        <f t="shared" si="56"/>
        <v/>
      </c>
      <c r="AH148" s="24" t="str">
        <f t="shared" si="56"/>
        <v/>
      </c>
      <c r="AI148" s="24" t="str">
        <f t="shared" si="56"/>
        <v/>
      </c>
      <c r="AJ148" s="24" t="str">
        <f t="shared" si="56"/>
        <v/>
      </c>
      <c r="AK148" s="24" t="str">
        <f t="shared" si="56"/>
        <v/>
      </c>
      <c r="AL148" s="24" t="str">
        <f t="shared" si="56"/>
        <v/>
      </c>
      <c r="AM148" s="24" t="str">
        <f t="shared" si="56"/>
        <v/>
      </c>
      <c r="AN148" s="24" t="str">
        <f t="shared" si="56"/>
        <v/>
      </c>
      <c r="AO148" t="str">
        <f>IF($C148="Phase",IF($AR148=0,"",IF(COUNT(E149:INDEX(E$6:E$156,143+$AR148))=0,"",MIN(E149:INDEX(E$6:E$156,143+$AR148)))),IF($E148="","",$E148))</f>
        <v/>
      </c>
      <c r="AP148" t="str">
        <f>IF($C148="Phase",IF($AO148="","",MAX(G149:INDEX(G$6:G$156,143+$AR148))),IF($G148="","",$G148))</f>
        <v/>
      </c>
      <c r="AQ148">
        <f>IF($C148="Phase",IF($AR148=0,0,IF(SUM(F149:INDEX(F$6:F$156,143+$AR148))=0,0,SUMPRODUCT(F149:INDEX(F$6:F$156,143+$AR148),H149:INDEX(H$6:H$156,143+$AR148))/SUM(F149:INDEX(F$6:F$156,143+$AR148)))),N($H148))</f>
        <v>0</v>
      </c>
      <c r="AR148">
        <f>IF($C148&lt;&gt;"Phase",0,IFERROR(MATCH("Phase",$C149:$C$156,0)-1,7))</f>
        <v>0</v>
      </c>
      <c r="AS148" t="str">
        <f t="shared" si="50"/>
        <v/>
      </c>
    </row>
    <row r="149" spans="1:45" x14ac:dyDescent="0.3">
      <c r="A149" s="19"/>
      <c r="B149" s="19"/>
      <c r="C149" s="19"/>
      <c r="D149" s="19"/>
      <c r="E149" s="20"/>
      <c r="F149" s="19"/>
      <c r="G149" s="21" t="str">
        <f>IF($C149="Phase",$AP149,IF(OR($E149="",$F149=""),"",IF(N($F149)&lt;=0,$E149,WORKDAY.INTL($E149,$F149-1,Settings!$B$9,Holidays!$A$4:$A$103))))</f>
        <v/>
      </c>
      <c r="H149" s="22"/>
      <c r="I149" s="23" t="str">
        <f t="shared" ca="1" si="49"/>
        <v/>
      </c>
      <c r="J149" s="19"/>
      <c r="K149" s="24" t="str">
        <f t="shared" si="54"/>
        <v/>
      </c>
      <c r="L149" s="24" t="str">
        <f t="shared" si="54"/>
        <v/>
      </c>
      <c r="M149" s="24" t="str">
        <f t="shared" si="54"/>
        <v/>
      </c>
      <c r="N149" s="24" t="str">
        <f t="shared" si="54"/>
        <v/>
      </c>
      <c r="O149" s="24" t="str">
        <f t="shared" si="54"/>
        <v/>
      </c>
      <c r="P149" s="24" t="str">
        <f t="shared" si="54"/>
        <v/>
      </c>
      <c r="Q149" s="24" t="str">
        <f t="shared" si="54"/>
        <v/>
      </c>
      <c r="R149" s="24" t="str">
        <f t="shared" si="54"/>
        <v/>
      </c>
      <c r="S149" s="24" t="str">
        <f t="shared" si="54"/>
        <v/>
      </c>
      <c r="T149" s="24" t="str">
        <f t="shared" si="54"/>
        <v/>
      </c>
      <c r="U149" s="24" t="str">
        <f t="shared" si="55"/>
        <v/>
      </c>
      <c r="V149" s="24" t="str">
        <f t="shared" si="55"/>
        <v/>
      </c>
      <c r="W149" s="24" t="str">
        <f t="shared" si="55"/>
        <v/>
      </c>
      <c r="X149" s="24" t="str">
        <f t="shared" si="55"/>
        <v/>
      </c>
      <c r="Y149" s="24" t="str">
        <f t="shared" si="55"/>
        <v/>
      </c>
      <c r="Z149" s="24" t="str">
        <f t="shared" si="55"/>
        <v/>
      </c>
      <c r="AA149" s="24" t="str">
        <f t="shared" si="55"/>
        <v/>
      </c>
      <c r="AB149" s="24" t="str">
        <f t="shared" si="55"/>
        <v/>
      </c>
      <c r="AC149" s="24" t="str">
        <f t="shared" si="55"/>
        <v/>
      </c>
      <c r="AD149" s="24" t="str">
        <f t="shared" si="55"/>
        <v/>
      </c>
      <c r="AE149" s="24" t="str">
        <f t="shared" si="56"/>
        <v/>
      </c>
      <c r="AF149" s="24" t="str">
        <f t="shared" si="56"/>
        <v/>
      </c>
      <c r="AG149" s="24" t="str">
        <f t="shared" si="56"/>
        <v/>
      </c>
      <c r="AH149" s="24" t="str">
        <f t="shared" si="56"/>
        <v/>
      </c>
      <c r="AI149" s="24" t="str">
        <f t="shared" si="56"/>
        <v/>
      </c>
      <c r="AJ149" s="24" t="str">
        <f t="shared" si="56"/>
        <v/>
      </c>
      <c r="AK149" s="24" t="str">
        <f t="shared" si="56"/>
        <v/>
      </c>
      <c r="AL149" s="24" t="str">
        <f t="shared" si="56"/>
        <v/>
      </c>
      <c r="AM149" s="24" t="str">
        <f t="shared" si="56"/>
        <v/>
      </c>
      <c r="AN149" s="24" t="str">
        <f t="shared" si="56"/>
        <v/>
      </c>
      <c r="AO149" t="str">
        <f>IF($C149="Phase",IF($AR149=0,"",IF(COUNT(E150:INDEX(E$6:E$156,144+$AR149))=0,"",MIN(E150:INDEX(E$6:E$156,144+$AR149)))),IF($E149="","",$E149))</f>
        <v/>
      </c>
      <c r="AP149" t="str">
        <f>IF($C149="Phase",IF($AO149="","",MAX(G150:INDEX(G$6:G$156,144+$AR149))),IF($G149="","",$G149))</f>
        <v/>
      </c>
      <c r="AQ149">
        <f>IF($C149="Phase",IF($AR149=0,0,IF(SUM(F150:INDEX(F$6:F$156,144+$AR149))=0,0,SUMPRODUCT(F150:INDEX(F$6:F$156,144+$AR149),H150:INDEX(H$6:H$156,144+$AR149))/SUM(F150:INDEX(F$6:F$156,144+$AR149)))),N($H149))</f>
        <v>0</v>
      </c>
      <c r="AR149">
        <f>IF($C149&lt;&gt;"Phase",0,IFERROR(MATCH("Phase",$C150:$C$156,0)-1,6))</f>
        <v>0</v>
      </c>
      <c r="AS149" t="str">
        <f t="shared" si="50"/>
        <v/>
      </c>
    </row>
    <row r="150" spans="1:45" x14ac:dyDescent="0.3">
      <c r="A150" s="19"/>
      <c r="B150" s="19"/>
      <c r="C150" s="19"/>
      <c r="D150" s="19"/>
      <c r="E150" s="20"/>
      <c r="F150" s="19"/>
      <c r="G150" s="21" t="str">
        <f>IF($C150="Phase",$AP150,IF(OR($E150="",$F150=""),"",IF(N($F150)&lt;=0,$E150,WORKDAY.INTL($E150,$F150-1,Settings!$B$9,Holidays!$A$4:$A$103))))</f>
        <v/>
      </c>
      <c r="H150" s="22"/>
      <c r="I150" s="23" t="str">
        <f t="shared" ca="1" si="49"/>
        <v/>
      </c>
      <c r="J150" s="19"/>
      <c r="K150" s="24" t="str">
        <f t="shared" si="54"/>
        <v/>
      </c>
      <c r="L150" s="24" t="str">
        <f t="shared" si="54"/>
        <v/>
      </c>
      <c r="M150" s="24" t="str">
        <f t="shared" si="54"/>
        <v/>
      </c>
      <c r="N150" s="24" t="str">
        <f t="shared" si="54"/>
        <v/>
      </c>
      <c r="O150" s="24" t="str">
        <f t="shared" si="54"/>
        <v/>
      </c>
      <c r="P150" s="24" t="str">
        <f t="shared" si="54"/>
        <v/>
      </c>
      <c r="Q150" s="24" t="str">
        <f t="shared" si="54"/>
        <v/>
      </c>
      <c r="R150" s="24" t="str">
        <f t="shared" si="54"/>
        <v/>
      </c>
      <c r="S150" s="24" t="str">
        <f t="shared" si="54"/>
        <v/>
      </c>
      <c r="T150" s="24" t="str">
        <f t="shared" si="54"/>
        <v/>
      </c>
      <c r="U150" s="24" t="str">
        <f t="shared" si="55"/>
        <v/>
      </c>
      <c r="V150" s="24" t="str">
        <f t="shared" si="55"/>
        <v/>
      </c>
      <c r="W150" s="24" t="str">
        <f t="shared" si="55"/>
        <v/>
      </c>
      <c r="X150" s="24" t="str">
        <f t="shared" si="55"/>
        <v/>
      </c>
      <c r="Y150" s="24" t="str">
        <f t="shared" si="55"/>
        <v/>
      </c>
      <c r="Z150" s="24" t="str">
        <f t="shared" si="55"/>
        <v/>
      </c>
      <c r="AA150" s="24" t="str">
        <f t="shared" si="55"/>
        <v/>
      </c>
      <c r="AB150" s="24" t="str">
        <f t="shared" si="55"/>
        <v/>
      </c>
      <c r="AC150" s="24" t="str">
        <f t="shared" si="55"/>
        <v/>
      </c>
      <c r="AD150" s="24" t="str">
        <f t="shared" si="55"/>
        <v/>
      </c>
      <c r="AE150" s="24" t="str">
        <f t="shared" si="56"/>
        <v/>
      </c>
      <c r="AF150" s="24" t="str">
        <f t="shared" si="56"/>
        <v/>
      </c>
      <c r="AG150" s="24" t="str">
        <f t="shared" si="56"/>
        <v/>
      </c>
      <c r="AH150" s="24" t="str">
        <f t="shared" si="56"/>
        <v/>
      </c>
      <c r="AI150" s="24" t="str">
        <f t="shared" si="56"/>
        <v/>
      </c>
      <c r="AJ150" s="24" t="str">
        <f t="shared" si="56"/>
        <v/>
      </c>
      <c r="AK150" s="24" t="str">
        <f t="shared" si="56"/>
        <v/>
      </c>
      <c r="AL150" s="24" t="str">
        <f t="shared" si="56"/>
        <v/>
      </c>
      <c r="AM150" s="24" t="str">
        <f t="shared" si="56"/>
        <v/>
      </c>
      <c r="AN150" s="24" t="str">
        <f t="shared" si="56"/>
        <v/>
      </c>
      <c r="AO150" t="str">
        <f>IF($C150="Phase",IF($AR150=0,"",IF(COUNT(E151:INDEX(E$6:E$156,145+$AR150))=0,"",MIN(E151:INDEX(E$6:E$156,145+$AR150)))),IF($E150="","",$E150))</f>
        <v/>
      </c>
      <c r="AP150" t="str">
        <f>IF($C150="Phase",IF($AO150="","",MAX(G151:INDEX(G$6:G$156,145+$AR150))),IF($G150="","",$G150))</f>
        <v/>
      </c>
      <c r="AQ150">
        <f>IF($C150="Phase",IF($AR150=0,0,IF(SUM(F151:INDEX(F$6:F$156,145+$AR150))=0,0,SUMPRODUCT(F151:INDEX(F$6:F$156,145+$AR150),H151:INDEX(H$6:H$156,145+$AR150))/SUM(F151:INDEX(F$6:F$156,145+$AR150)))),N($H150))</f>
        <v>0</v>
      </c>
      <c r="AR150">
        <f>IF($C150&lt;&gt;"Phase",0,IFERROR(MATCH("Phase",$C151:$C$156,0)-1,5))</f>
        <v>0</v>
      </c>
      <c r="AS150" t="str">
        <f t="shared" si="50"/>
        <v/>
      </c>
    </row>
    <row r="151" spans="1:45" x14ac:dyDescent="0.3">
      <c r="A151" s="19"/>
      <c r="B151" s="19"/>
      <c r="C151" s="19"/>
      <c r="D151" s="19"/>
      <c r="E151" s="20"/>
      <c r="F151" s="19"/>
      <c r="G151" s="21" t="str">
        <f>IF($C151="Phase",$AP151,IF(OR($E151="",$F151=""),"",IF(N($F151)&lt;=0,$E151,WORKDAY.INTL($E151,$F151-1,Settings!$B$9,Holidays!$A$4:$A$103))))</f>
        <v/>
      </c>
      <c r="H151" s="22"/>
      <c r="I151" s="23" t="str">
        <f t="shared" ca="1" si="49"/>
        <v/>
      </c>
      <c r="J151" s="19"/>
      <c r="K151" s="24" t="str">
        <f t="shared" si="54"/>
        <v/>
      </c>
      <c r="L151" s="24" t="str">
        <f t="shared" si="54"/>
        <v/>
      </c>
      <c r="M151" s="24" t="str">
        <f t="shared" si="54"/>
        <v/>
      </c>
      <c r="N151" s="24" t="str">
        <f t="shared" si="54"/>
        <v/>
      </c>
      <c r="O151" s="24" t="str">
        <f t="shared" si="54"/>
        <v/>
      </c>
      <c r="P151" s="24" t="str">
        <f t="shared" si="54"/>
        <v/>
      </c>
      <c r="Q151" s="24" t="str">
        <f t="shared" si="54"/>
        <v/>
      </c>
      <c r="R151" s="24" t="str">
        <f t="shared" si="54"/>
        <v/>
      </c>
      <c r="S151" s="24" t="str">
        <f t="shared" si="54"/>
        <v/>
      </c>
      <c r="T151" s="24" t="str">
        <f t="shared" si="54"/>
        <v/>
      </c>
      <c r="U151" s="24" t="str">
        <f t="shared" si="55"/>
        <v/>
      </c>
      <c r="V151" s="24" t="str">
        <f t="shared" si="55"/>
        <v/>
      </c>
      <c r="W151" s="24" t="str">
        <f t="shared" si="55"/>
        <v/>
      </c>
      <c r="X151" s="24" t="str">
        <f t="shared" si="55"/>
        <v/>
      </c>
      <c r="Y151" s="24" t="str">
        <f t="shared" si="55"/>
        <v/>
      </c>
      <c r="Z151" s="24" t="str">
        <f t="shared" si="55"/>
        <v/>
      </c>
      <c r="AA151" s="24" t="str">
        <f t="shared" si="55"/>
        <v/>
      </c>
      <c r="AB151" s="24" t="str">
        <f t="shared" si="55"/>
        <v/>
      </c>
      <c r="AC151" s="24" t="str">
        <f t="shared" si="55"/>
        <v/>
      </c>
      <c r="AD151" s="24" t="str">
        <f t="shared" si="55"/>
        <v/>
      </c>
      <c r="AE151" s="24" t="str">
        <f t="shared" si="56"/>
        <v/>
      </c>
      <c r="AF151" s="24" t="str">
        <f t="shared" si="56"/>
        <v/>
      </c>
      <c r="AG151" s="24" t="str">
        <f t="shared" si="56"/>
        <v/>
      </c>
      <c r="AH151" s="24" t="str">
        <f t="shared" si="56"/>
        <v/>
      </c>
      <c r="AI151" s="24" t="str">
        <f t="shared" si="56"/>
        <v/>
      </c>
      <c r="AJ151" s="24" t="str">
        <f t="shared" si="56"/>
        <v/>
      </c>
      <c r="AK151" s="24" t="str">
        <f t="shared" si="56"/>
        <v/>
      </c>
      <c r="AL151" s="24" t="str">
        <f t="shared" si="56"/>
        <v/>
      </c>
      <c r="AM151" s="24" t="str">
        <f t="shared" si="56"/>
        <v/>
      </c>
      <c r="AN151" s="24" t="str">
        <f t="shared" si="56"/>
        <v/>
      </c>
      <c r="AO151" t="str">
        <f>IF($C151="Phase",IF($AR151=0,"",IF(COUNT(E152:INDEX(E$6:E$156,146+$AR151))=0,"",MIN(E152:INDEX(E$6:E$156,146+$AR151)))),IF($E151="","",$E151))</f>
        <v/>
      </c>
      <c r="AP151" t="str">
        <f>IF($C151="Phase",IF($AO151="","",MAX(G152:INDEX(G$6:G$156,146+$AR151))),IF($G151="","",$G151))</f>
        <v/>
      </c>
      <c r="AQ151">
        <f>IF($C151="Phase",IF($AR151=0,0,IF(SUM(F152:INDEX(F$6:F$156,146+$AR151))=0,0,SUMPRODUCT(F152:INDEX(F$6:F$156,146+$AR151),H152:INDEX(H$6:H$156,146+$AR151))/SUM(F152:INDEX(F$6:F$156,146+$AR151)))),N($H151))</f>
        <v>0</v>
      </c>
      <c r="AR151">
        <f>IF($C151&lt;&gt;"Phase",0,IFERROR(MATCH("Phase",$C152:$C$156,0)-1,4))</f>
        <v>0</v>
      </c>
      <c r="AS151" t="str">
        <f t="shared" si="50"/>
        <v/>
      </c>
    </row>
    <row r="152" spans="1:45" x14ac:dyDescent="0.3">
      <c r="A152" s="19"/>
      <c r="B152" s="19"/>
      <c r="C152" s="19"/>
      <c r="D152" s="19"/>
      <c r="E152" s="20"/>
      <c r="F152" s="19"/>
      <c r="G152" s="21" t="str">
        <f>IF($C152="Phase",$AP152,IF(OR($E152="",$F152=""),"",IF(N($F152)&lt;=0,$E152,WORKDAY.INTL($E152,$F152-1,Settings!$B$9,Holidays!$A$4:$A$103))))</f>
        <v/>
      </c>
      <c r="H152" s="22"/>
      <c r="I152" s="23" t="str">
        <f t="shared" ca="1" si="49"/>
        <v/>
      </c>
      <c r="J152" s="19"/>
      <c r="K152" s="24" t="str">
        <f t="shared" si="54"/>
        <v/>
      </c>
      <c r="L152" s="24" t="str">
        <f t="shared" si="54"/>
        <v/>
      </c>
      <c r="M152" s="24" t="str">
        <f t="shared" si="54"/>
        <v/>
      </c>
      <c r="N152" s="24" t="str">
        <f t="shared" si="54"/>
        <v/>
      </c>
      <c r="O152" s="24" t="str">
        <f t="shared" si="54"/>
        <v/>
      </c>
      <c r="P152" s="24" t="str">
        <f t="shared" si="54"/>
        <v/>
      </c>
      <c r="Q152" s="24" t="str">
        <f t="shared" si="54"/>
        <v/>
      </c>
      <c r="R152" s="24" t="str">
        <f t="shared" si="54"/>
        <v/>
      </c>
      <c r="S152" s="24" t="str">
        <f t="shared" si="54"/>
        <v/>
      </c>
      <c r="T152" s="24" t="str">
        <f t="shared" si="54"/>
        <v/>
      </c>
      <c r="U152" s="24" t="str">
        <f t="shared" si="55"/>
        <v/>
      </c>
      <c r="V152" s="24" t="str">
        <f t="shared" si="55"/>
        <v/>
      </c>
      <c r="W152" s="24" t="str">
        <f t="shared" si="55"/>
        <v/>
      </c>
      <c r="X152" s="24" t="str">
        <f t="shared" si="55"/>
        <v/>
      </c>
      <c r="Y152" s="24" t="str">
        <f t="shared" si="55"/>
        <v/>
      </c>
      <c r="Z152" s="24" t="str">
        <f t="shared" si="55"/>
        <v/>
      </c>
      <c r="AA152" s="24" t="str">
        <f t="shared" si="55"/>
        <v/>
      </c>
      <c r="AB152" s="24" t="str">
        <f t="shared" si="55"/>
        <v/>
      </c>
      <c r="AC152" s="24" t="str">
        <f t="shared" si="55"/>
        <v/>
      </c>
      <c r="AD152" s="24" t="str">
        <f t="shared" si="55"/>
        <v/>
      </c>
      <c r="AE152" s="24" t="str">
        <f t="shared" si="56"/>
        <v/>
      </c>
      <c r="AF152" s="24" t="str">
        <f t="shared" si="56"/>
        <v/>
      </c>
      <c r="AG152" s="24" t="str">
        <f t="shared" si="56"/>
        <v/>
      </c>
      <c r="AH152" s="24" t="str">
        <f t="shared" si="56"/>
        <v/>
      </c>
      <c r="AI152" s="24" t="str">
        <f t="shared" si="56"/>
        <v/>
      </c>
      <c r="AJ152" s="24" t="str">
        <f t="shared" si="56"/>
        <v/>
      </c>
      <c r="AK152" s="24" t="str">
        <f t="shared" si="56"/>
        <v/>
      </c>
      <c r="AL152" s="24" t="str">
        <f t="shared" si="56"/>
        <v/>
      </c>
      <c r="AM152" s="24" t="str">
        <f t="shared" si="56"/>
        <v/>
      </c>
      <c r="AN152" s="24" t="str">
        <f t="shared" si="56"/>
        <v/>
      </c>
      <c r="AO152" t="str">
        <f>IF($C152="Phase",IF($AR152=0,"",IF(COUNT(E153:INDEX(E$6:E$156,147+$AR152))=0,"",MIN(E153:INDEX(E$6:E$156,147+$AR152)))),IF($E152="","",$E152))</f>
        <v/>
      </c>
      <c r="AP152" t="str">
        <f>IF($C152="Phase",IF($AO152="","",MAX(G153:INDEX(G$6:G$156,147+$AR152))),IF($G152="","",$G152))</f>
        <v/>
      </c>
      <c r="AQ152">
        <f>IF($C152="Phase",IF($AR152=0,0,IF(SUM(F153:INDEX(F$6:F$156,147+$AR152))=0,0,SUMPRODUCT(F153:INDEX(F$6:F$156,147+$AR152),H153:INDEX(H$6:H$156,147+$AR152))/SUM(F153:INDEX(F$6:F$156,147+$AR152)))),N($H152))</f>
        <v>0</v>
      </c>
      <c r="AR152">
        <f>IF($C152&lt;&gt;"Phase",0,IFERROR(MATCH("Phase",$C153:$C$156,0)-1,3))</f>
        <v>0</v>
      </c>
      <c r="AS152" t="str">
        <f t="shared" si="50"/>
        <v/>
      </c>
    </row>
    <row r="153" spans="1:45" x14ac:dyDescent="0.3">
      <c r="A153" s="19"/>
      <c r="B153" s="19"/>
      <c r="C153" s="19"/>
      <c r="D153" s="19"/>
      <c r="E153" s="20"/>
      <c r="F153" s="19"/>
      <c r="G153" s="21" t="str">
        <f>IF($C153="Phase",$AP153,IF(OR($E153="",$F153=""),"",IF(N($F153)&lt;=0,$E153,WORKDAY.INTL($E153,$F153-1,Settings!$B$9,Holidays!$A$4:$A$103))))</f>
        <v/>
      </c>
      <c r="H153" s="22"/>
      <c r="I153" s="23" t="str">
        <f t="shared" ca="1" si="49"/>
        <v/>
      </c>
      <c r="J153" s="19"/>
      <c r="K153" s="24" t="str">
        <f t="shared" si="54"/>
        <v/>
      </c>
      <c r="L153" s="24" t="str">
        <f t="shared" si="54"/>
        <v/>
      </c>
      <c r="M153" s="24" t="str">
        <f t="shared" si="54"/>
        <v/>
      </c>
      <c r="N153" s="24" t="str">
        <f t="shared" si="54"/>
        <v/>
      </c>
      <c r="O153" s="24" t="str">
        <f t="shared" si="54"/>
        <v/>
      </c>
      <c r="P153" s="24" t="str">
        <f t="shared" si="54"/>
        <v/>
      </c>
      <c r="Q153" s="24" t="str">
        <f t="shared" si="54"/>
        <v/>
      </c>
      <c r="R153" s="24" t="str">
        <f t="shared" si="54"/>
        <v/>
      </c>
      <c r="S153" s="24" t="str">
        <f t="shared" si="54"/>
        <v/>
      </c>
      <c r="T153" s="24" t="str">
        <f t="shared" si="54"/>
        <v/>
      </c>
      <c r="U153" s="24" t="str">
        <f t="shared" si="55"/>
        <v/>
      </c>
      <c r="V153" s="24" t="str">
        <f t="shared" si="55"/>
        <v/>
      </c>
      <c r="W153" s="24" t="str">
        <f t="shared" si="55"/>
        <v/>
      </c>
      <c r="X153" s="24" t="str">
        <f t="shared" si="55"/>
        <v/>
      </c>
      <c r="Y153" s="24" t="str">
        <f t="shared" si="55"/>
        <v/>
      </c>
      <c r="Z153" s="24" t="str">
        <f t="shared" si="55"/>
        <v/>
      </c>
      <c r="AA153" s="24" t="str">
        <f t="shared" si="55"/>
        <v/>
      </c>
      <c r="AB153" s="24" t="str">
        <f t="shared" si="55"/>
        <v/>
      </c>
      <c r="AC153" s="24" t="str">
        <f t="shared" si="55"/>
        <v/>
      </c>
      <c r="AD153" s="24" t="str">
        <f t="shared" si="55"/>
        <v/>
      </c>
      <c r="AE153" s="24" t="str">
        <f t="shared" si="56"/>
        <v/>
      </c>
      <c r="AF153" s="24" t="str">
        <f t="shared" si="56"/>
        <v/>
      </c>
      <c r="AG153" s="24" t="str">
        <f t="shared" si="56"/>
        <v/>
      </c>
      <c r="AH153" s="24" t="str">
        <f t="shared" si="56"/>
        <v/>
      </c>
      <c r="AI153" s="24" t="str">
        <f t="shared" si="56"/>
        <v/>
      </c>
      <c r="AJ153" s="24" t="str">
        <f t="shared" si="56"/>
        <v/>
      </c>
      <c r="AK153" s="24" t="str">
        <f t="shared" si="56"/>
        <v/>
      </c>
      <c r="AL153" s="24" t="str">
        <f t="shared" si="56"/>
        <v/>
      </c>
      <c r="AM153" s="24" t="str">
        <f t="shared" si="56"/>
        <v/>
      </c>
      <c r="AN153" s="24" t="str">
        <f t="shared" si="56"/>
        <v/>
      </c>
      <c r="AO153" t="str">
        <f>IF($C153="Phase",IF($AR153=0,"",IF(COUNT(E154:INDEX(E$6:E$156,148+$AR153))=0,"",MIN(E154:INDEX(E$6:E$156,148+$AR153)))),IF($E153="","",$E153))</f>
        <v/>
      </c>
      <c r="AP153" t="str">
        <f>IF($C153="Phase",IF($AO153="","",MAX(G154:INDEX(G$6:G$156,148+$AR153))),IF($G153="","",$G153))</f>
        <v/>
      </c>
      <c r="AQ153">
        <f>IF($C153="Phase",IF($AR153=0,0,IF(SUM(F154:INDEX(F$6:F$156,148+$AR153))=0,0,SUMPRODUCT(F154:INDEX(F$6:F$156,148+$AR153),H154:INDEX(H$6:H$156,148+$AR153))/SUM(F154:INDEX(F$6:F$156,148+$AR153)))),N($H153))</f>
        <v>0</v>
      </c>
      <c r="AR153">
        <f>IF($C153&lt;&gt;"Phase",0,IFERROR(MATCH("Phase",$C154:$C$156,0)-1,2))</f>
        <v>0</v>
      </c>
      <c r="AS153" t="str">
        <f t="shared" si="50"/>
        <v/>
      </c>
    </row>
    <row r="154" spans="1:45" x14ac:dyDescent="0.3">
      <c r="A154" s="19"/>
      <c r="B154" s="19"/>
      <c r="C154" s="19"/>
      <c r="D154" s="19"/>
      <c r="E154" s="20"/>
      <c r="F154" s="19"/>
      <c r="G154" s="21" t="str">
        <f>IF($C154="Phase",$AP154,IF(OR($E154="",$F154=""),"",IF(N($F154)&lt;=0,$E154,WORKDAY.INTL($E154,$F154-1,Settings!$B$9,Holidays!$A$4:$A$103))))</f>
        <v/>
      </c>
      <c r="H154" s="22"/>
      <c r="I154" s="23" t="str">
        <f t="shared" ca="1" si="49"/>
        <v/>
      </c>
      <c r="J154" s="19"/>
      <c r="K154" s="24" t="str">
        <f t="shared" si="54"/>
        <v/>
      </c>
      <c r="L154" s="24" t="str">
        <f t="shared" si="54"/>
        <v/>
      </c>
      <c r="M154" s="24" t="str">
        <f t="shared" si="54"/>
        <v/>
      </c>
      <c r="N154" s="24" t="str">
        <f t="shared" si="54"/>
        <v/>
      </c>
      <c r="O154" s="24" t="str">
        <f t="shared" si="54"/>
        <v/>
      </c>
      <c r="P154" s="24" t="str">
        <f t="shared" si="54"/>
        <v/>
      </c>
      <c r="Q154" s="24" t="str">
        <f t="shared" si="54"/>
        <v/>
      </c>
      <c r="R154" s="24" t="str">
        <f t="shared" si="54"/>
        <v/>
      </c>
      <c r="S154" s="24" t="str">
        <f t="shared" si="54"/>
        <v/>
      </c>
      <c r="T154" s="24" t="str">
        <f t="shared" si="54"/>
        <v/>
      </c>
      <c r="U154" s="24" t="str">
        <f t="shared" si="55"/>
        <v/>
      </c>
      <c r="V154" s="24" t="str">
        <f t="shared" si="55"/>
        <v/>
      </c>
      <c r="W154" s="24" t="str">
        <f t="shared" si="55"/>
        <v/>
      </c>
      <c r="X154" s="24" t="str">
        <f t="shared" si="55"/>
        <v/>
      </c>
      <c r="Y154" s="24" t="str">
        <f t="shared" si="55"/>
        <v/>
      </c>
      <c r="Z154" s="24" t="str">
        <f t="shared" si="55"/>
        <v/>
      </c>
      <c r="AA154" s="24" t="str">
        <f t="shared" si="55"/>
        <v/>
      </c>
      <c r="AB154" s="24" t="str">
        <f t="shared" si="55"/>
        <v/>
      </c>
      <c r="AC154" s="24" t="str">
        <f t="shared" si="55"/>
        <v/>
      </c>
      <c r="AD154" s="24" t="str">
        <f t="shared" si="55"/>
        <v/>
      </c>
      <c r="AE154" s="24" t="str">
        <f t="shared" si="56"/>
        <v/>
      </c>
      <c r="AF154" s="24" t="str">
        <f t="shared" si="56"/>
        <v/>
      </c>
      <c r="AG154" s="24" t="str">
        <f t="shared" si="56"/>
        <v/>
      </c>
      <c r="AH154" s="24" t="str">
        <f t="shared" si="56"/>
        <v/>
      </c>
      <c r="AI154" s="24" t="str">
        <f t="shared" si="56"/>
        <v/>
      </c>
      <c r="AJ154" s="24" t="str">
        <f t="shared" si="56"/>
        <v/>
      </c>
      <c r="AK154" s="24" t="str">
        <f t="shared" si="56"/>
        <v/>
      </c>
      <c r="AL154" s="24" t="str">
        <f t="shared" si="56"/>
        <v/>
      </c>
      <c r="AM154" s="24" t="str">
        <f t="shared" si="56"/>
        <v/>
      </c>
      <c r="AN154" s="24" t="str">
        <f t="shared" si="56"/>
        <v/>
      </c>
      <c r="AO154" t="str">
        <f>IF($C154="Phase",IF($AR154=0,"",IF(COUNT(E155:INDEX(E$6:E$156,149+$AR154))=0,"",MIN(E155:INDEX(E$6:E$156,149+$AR154)))),IF($E154="","",$E154))</f>
        <v/>
      </c>
      <c r="AP154" t="str">
        <f>IF($C154="Phase",IF($AO154="","",MAX(G155:INDEX(G$6:G$156,149+$AR154))),IF($G154="","",$G154))</f>
        <v/>
      </c>
      <c r="AQ154">
        <f>IF($C154="Phase",IF($AR154=0,0,IF(SUM(F155:INDEX(F$6:F$156,149+$AR154))=0,0,SUMPRODUCT(F155:INDEX(F$6:F$156,149+$AR154),H155:INDEX(H$6:H$156,149+$AR154))/SUM(F155:INDEX(F$6:F$156,149+$AR154)))),N($H154))</f>
        <v>0</v>
      </c>
      <c r="AR154">
        <f>IF($C154&lt;&gt;"Phase",0,IFERROR(MATCH("Phase",$C155:$C$156,0)-1,1))</f>
        <v>0</v>
      </c>
      <c r="AS154" t="str">
        <f t="shared" si="50"/>
        <v/>
      </c>
    </row>
    <row r="155" spans="1:45" x14ac:dyDescent="0.3">
      <c r="A155" s="19"/>
      <c r="B155" s="19"/>
      <c r="C155" s="19"/>
      <c r="D155" s="19"/>
      <c r="E155" s="20"/>
      <c r="F155" s="19"/>
      <c r="G155" s="21" t="str">
        <f>IF($C155="Phase",$AP155,IF(OR($E155="",$F155=""),"",IF(N($F155)&lt;=0,$E155,WORKDAY.INTL($E155,$F155-1,Settings!$B$9,Holidays!$A$4:$A$103))))</f>
        <v/>
      </c>
      <c r="H155" s="22"/>
      <c r="I155" s="23" t="str">
        <f t="shared" ca="1" si="49"/>
        <v/>
      </c>
      <c r="J155" s="19"/>
      <c r="K155" s="24" t="str">
        <f t="shared" si="54"/>
        <v/>
      </c>
      <c r="L155" s="24" t="str">
        <f t="shared" si="54"/>
        <v/>
      </c>
      <c r="M155" s="24" t="str">
        <f t="shared" si="54"/>
        <v/>
      </c>
      <c r="N155" s="24" t="str">
        <f t="shared" si="54"/>
        <v/>
      </c>
      <c r="O155" s="24" t="str">
        <f t="shared" si="54"/>
        <v/>
      </c>
      <c r="P155" s="24" t="str">
        <f t="shared" si="54"/>
        <v/>
      </c>
      <c r="Q155" s="24" t="str">
        <f t="shared" si="54"/>
        <v/>
      </c>
      <c r="R155" s="24" t="str">
        <f t="shared" si="54"/>
        <v/>
      </c>
      <c r="S155" s="24" t="str">
        <f t="shared" si="54"/>
        <v/>
      </c>
      <c r="T155" s="24" t="str">
        <f t="shared" si="54"/>
        <v/>
      </c>
      <c r="U155" s="24" t="str">
        <f t="shared" si="55"/>
        <v/>
      </c>
      <c r="V155" s="24" t="str">
        <f t="shared" si="55"/>
        <v/>
      </c>
      <c r="W155" s="24" t="str">
        <f t="shared" si="55"/>
        <v/>
      </c>
      <c r="X155" s="24" t="str">
        <f t="shared" si="55"/>
        <v/>
      </c>
      <c r="Y155" s="24" t="str">
        <f t="shared" si="55"/>
        <v/>
      </c>
      <c r="Z155" s="24" t="str">
        <f t="shared" si="55"/>
        <v/>
      </c>
      <c r="AA155" s="24" t="str">
        <f t="shared" si="55"/>
        <v/>
      </c>
      <c r="AB155" s="24" t="str">
        <f t="shared" si="55"/>
        <v/>
      </c>
      <c r="AC155" s="24" t="str">
        <f t="shared" si="55"/>
        <v/>
      </c>
      <c r="AD155" s="24" t="str">
        <f t="shared" si="55"/>
        <v/>
      </c>
      <c r="AE155" s="24" t="str">
        <f t="shared" si="56"/>
        <v/>
      </c>
      <c r="AF155" s="24" t="str">
        <f t="shared" si="56"/>
        <v/>
      </c>
      <c r="AG155" s="24" t="str">
        <f t="shared" si="56"/>
        <v/>
      </c>
      <c r="AH155" s="24" t="str">
        <f t="shared" si="56"/>
        <v/>
      </c>
      <c r="AI155" s="24" t="str">
        <f t="shared" si="56"/>
        <v/>
      </c>
      <c r="AJ155" s="24" t="str">
        <f t="shared" si="56"/>
        <v/>
      </c>
      <c r="AK155" s="24" t="str">
        <f t="shared" si="56"/>
        <v/>
      </c>
      <c r="AL155" s="24" t="str">
        <f t="shared" si="56"/>
        <v/>
      </c>
      <c r="AM155" s="24" t="str">
        <f t="shared" si="56"/>
        <v/>
      </c>
      <c r="AN155" s="24" t="str">
        <f t="shared" si="56"/>
        <v/>
      </c>
      <c r="AO155" t="str">
        <f>IF($C155="Phase",IF($AR155=0,"",IF(COUNT(E156:INDEX(E$6:E$156,150+$AR155))=0,"",MIN(E156:INDEX(E$6:E$156,150+$AR155)))),IF($E155="","",$E155))</f>
        <v/>
      </c>
      <c r="AP155" t="str">
        <f>IF($C155="Phase",IF($AO155="","",MAX(G156:INDEX(G$6:G$156,150+$AR155))),IF($G155="","",$G155))</f>
        <v/>
      </c>
      <c r="AQ155">
        <f>IF($C155="Phase",IF($AR155=0,0,IF(SUM(F156:INDEX(F$6:F$156,150+$AR155))=0,0,SUMPRODUCT(F156:INDEX(F$6:F$156,150+$AR155),H156:INDEX(H$6:H$156,150+$AR155))/SUM(F156:INDEX(F$6:F$156,150+$AR155)))),N($H155))</f>
        <v>0</v>
      </c>
      <c r="AR155">
        <f>IF($C155&lt;&gt;"Phase",0,IFERROR(MATCH("Phase",$C156:$C$156,0)-1,0))</f>
        <v>0</v>
      </c>
      <c r="AS155" t="str">
        <f t="shared" si="50"/>
        <v/>
      </c>
    </row>
  </sheetData>
  <conditionalFormatting sqref="A6:J155">
    <cfRule type="expression" dxfId="10" priority="1">
      <formula>$C6="Phase"</formula>
    </cfRule>
    <cfRule type="expression" dxfId="9" priority="2">
      <formula>$I6="Late"</formula>
    </cfRule>
    <cfRule type="expression" dxfId="8" priority="3">
      <formula>$I6="Done"</formula>
    </cfRule>
  </conditionalFormatting>
  <conditionalFormatting sqref="K5:AN5">
    <cfRule type="expression" dxfId="7" priority="11">
      <formula>AND(TODAY()&gt;=K$5,TODAY()&lt;K$5+$AO$3)</formula>
    </cfRule>
  </conditionalFormatting>
  <conditionalFormatting sqref="K6:AN155">
    <cfRule type="expression" dxfId="6" priority="4">
      <formula>AND(AND($C6&lt;&gt;"Milestone",$AO6&lt;&gt;"",$AP6&lt;&gt;"",$AO6&lt;K$5+$AO$3,$AP6&gt;=K$5),$C6="Phase",$AO6+($AP6-$AO6+1)*N($AQ6)&gt;MAX(K$5,$AO6))</formula>
    </cfRule>
    <cfRule type="expression" dxfId="5" priority="5">
      <formula>AND(AND($C6&lt;&gt;"Milestone",$AO6&lt;&gt;"",$AP6&lt;&gt;"",$AO6&lt;K$5+$AO$3,$AP6&gt;=K$5),$C6="Phase")</formula>
    </cfRule>
    <cfRule type="expression" dxfId="4" priority="6">
      <formula>AND(AND($C6&lt;&gt;"Milestone",$AO6&lt;&gt;"",$AP6&lt;&gt;"",$AO6&lt;K$5+$AO$3,$AP6&gt;=K$5),$AO6+($AP6-$AO6+1)*N($AQ6)&gt;MAX(K$5,$AO6))</formula>
    </cfRule>
    <cfRule type="expression" dxfId="3" priority="7">
      <formula>AND(AND($C6&lt;&gt;"Milestone",$AO6&lt;&gt;"",$AP6&lt;&gt;"",$AO6&lt;K$5+$AO$3,$AP6&gt;=K$5),$I6="Late")</formula>
    </cfRule>
    <cfRule type="expression" dxfId="2" priority="8">
      <formula>AND($C6&lt;&gt;"Milestone",$AO6&lt;&gt;"",$AP6&lt;&gt;"",$AO6&lt;K$5+$AO$3,$AP6&gt;=K$5)</formula>
    </cfRule>
    <cfRule type="expression" dxfId="1" priority="9">
      <formula>AND(TODAY()&gt;=K$5,TODAY()&lt;K$5+$AO$3)</formula>
    </cfRule>
    <cfRule type="expression" dxfId="0" priority="10">
      <formula>AND($AO$3=1,MID($AP$3,WEEKDAY(K$5,2),1)="1")</formula>
    </cfRule>
  </conditionalFormatting>
  <dataValidations count="1">
    <dataValidation type="decimal" allowBlank="1" showInputMessage="1" errorTitle="% done" error="Type a percent between 0% and 100%." prompt="Type 50% for half done, 100% when finished." sqref="H6:H155" xr:uid="{00000000-0002-0000-0200-000001000000}">
      <formula1>0</formula1>
      <formula2>1</formula2>
    </dataValidation>
  </dataValidations>
  <pageMargins left="0.4" right="0.4" top="1" bottom="1" header="0.5" footer="0.5"/>
  <pageSetup paperSize="9" fitToHeight="0" orientation="landscape"/>
  <headerFooter>
    <oddFooter>&amp;C&amp;8 Toolkit by GroupChatOn  ·  toolkit.groupchaton.com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promptTitle="Pick from the list" prompt="Phase = heading row, Task = work, Milestone = checkpoint (duration 0)" xr:uid="{00000000-0002-0000-0200-000000000000}">
          <x14:formula1>
            <xm:f>Lists!$C$1:$C$3</xm:f>
          </x14:formula1>
          <xm:sqref>C6:C155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103"/>
  <sheetViews>
    <sheetView showGridLines="0" workbookViewId="0">
      <pane ySplit="3" topLeftCell="A4" activePane="bottomLeft" state="frozen"/>
      <selection pane="bottomLeft"/>
    </sheetView>
  </sheetViews>
  <sheetFormatPr defaultRowHeight="14.4" x14ac:dyDescent="0.3"/>
  <cols>
    <col min="1" max="1" width="16" customWidth="1"/>
    <col min="2" max="2" width="40" customWidth="1"/>
  </cols>
  <sheetData>
    <row r="1" spans="1:2" ht="25.95" customHeight="1" x14ac:dyDescent="0.4">
      <c r="A1" s="1" t="s">
        <v>104</v>
      </c>
    </row>
    <row r="2" spans="1:2" x14ac:dyDescent="0.3">
      <c r="A2" s="2" t="s">
        <v>105</v>
      </c>
    </row>
    <row r="3" spans="1:2" ht="31.95" customHeight="1" x14ac:dyDescent="0.3">
      <c r="A3" s="17" t="s">
        <v>106</v>
      </c>
      <c r="B3" s="17" t="s">
        <v>107</v>
      </c>
    </row>
    <row r="4" spans="1:2" x14ac:dyDescent="0.3">
      <c r="A4" s="20">
        <v>46381</v>
      </c>
      <c r="B4" s="19" t="s">
        <v>108</v>
      </c>
    </row>
    <row r="5" spans="1:2" x14ac:dyDescent="0.3">
      <c r="A5" s="20">
        <v>46388</v>
      </c>
      <c r="B5" s="19" t="s">
        <v>109</v>
      </c>
    </row>
    <row r="6" spans="1:2" x14ac:dyDescent="0.3">
      <c r="A6" s="20">
        <v>46413</v>
      </c>
      <c r="B6" s="19" t="s">
        <v>110</v>
      </c>
    </row>
    <row r="7" spans="1:2" x14ac:dyDescent="0.3">
      <c r="A7" s="20"/>
      <c r="B7" s="19"/>
    </row>
    <row r="8" spans="1:2" x14ac:dyDescent="0.3">
      <c r="A8" s="20"/>
      <c r="B8" s="19"/>
    </row>
    <row r="9" spans="1:2" x14ac:dyDescent="0.3">
      <c r="A9" s="20"/>
      <c r="B9" s="19"/>
    </row>
    <row r="10" spans="1:2" x14ac:dyDescent="0.3">
      <c r="A10" s="20"/>
      <c r="B10" s="19"/>
    </row>
    <row r="11" spans="1:2" x14ac:dyDescent="0.3">
      <c r="A11" s="20"/>
      <c r="B11" s="19"/>
    </row>
    <row r="12" spans="1:2" x14ac:dyDescent="0.3">
      <c r="A12" s="20"/>
      <c r="B12" s="19"/>
    </row>
    <row r="13" spans="1:2" x14ac:dyDescent="0.3">
      <c r="A13" s="20"/>
      <c r="B13" s="19"/>
    </row>
    <row r="14" spans="1:2" x14ac:dyDescent="0.3">
      <c r="A14" s="20"/>
      <c r="B14" s="19"/>
    </row>
    <row r="15" spans="1:2" x14ac:dyDescent="0.3">
      <c r="A15" s="20"/>
      <c r="B15" s="19"/>
    </row>
    <row r="16" spans="1:2" x14ac:dyDescent="0.3">
      <c r="A16" s="20"/>
      <c r="B16" s="19"/>
    </row>
    <row r="17" spans="1:2" x14ac:dyDescent="0.3">
      <c r="A17" s="20"/>
      <c r="B17" s="19"/>
    </row>
    <row r="18" spans="1:2" x14ac:dyDescent="0.3">
      <c r="A18" s="20"/>
      <c r="B18" s="19"/>
    </row>
    <row r="19" spans="1:2" x14ac:dyDescent="0.3">
      <c r="A19" s="20"/>
      <c r="B19" s="19"/>
    </row>
    <row r="20" spans="1:2" x14ac:dyDescent="0.3">
      <c r="A20" s="20"/>
      <c r="B20" s="19"/>
    </row>
    <row r="21" spans="1:2" x14ac:dyDescent="0.3">
      <c r="A21" s="20"/>
      <c r="B21" s="19"/>
    </row>
    <row r="22" spans="1:2" x14ac:dyDescent="0.3">
      <c r="A22" s="20"/>
      <c r="B22" s="19"/>
    </row>
    <row r="23" spans="1:2" x14ac:dyDescent="0.3">
      <c r="A23" s="20"/>
      <c r="B23" s="19"/>
    </row>
    <row r="24" spans="1:2" x14ac:dyDescent="0.3">
      <c r="A24" s="20"/>
      <c r="B24" s="19"/>
    </row>
    <row r="25" spans="1:2" x14ac:dyDescent="0.3">
      <c r="A25" s="20"/>
      <c r="B25" s="19"/>
    </row>
    <row r="26" spans="1:2" x14ac:dyDescent="0.3">
      <c r="A26" s="20"/>
      <c r="B26" s="19"/>
    </row>
    <row r="27" spans="1:2" x14ac:dyDescent="0.3">
      <c r="A27" s="20"/>
      <c r="B27" s="19"/>
    </row>
    <row r="28" spans="1:2" x14ac:dyDescent="0.3">
      <c r="A28" s="20"/>
      <c r="B28" s="19"/>
    </row>
    <row r="29" spans="1:2" x14ac:dyDescent="0.3">
      <c r="A29" s="20"/>
      <c r="B29" s="19"/>
    </row>
    <row r="30" spans="1:2" x14ac:dyDescent="0.3">
      <c r="A30" s="20"/>
      <c r="B30" s="19"/>
    </row>
    <row r="31" spans="1:2" x14ac:dyDescent="0.3">
      <c r="A31" s="20"/>
      <c r="B31" s="19"/>
    </row>
    <row r="32" spans="1:2" x14ac:dyDescent="0.3">
      <c r="A32" s="20"/>
      <c r="B32" s="19"/>
    </row>
    <row r="33" spans="1:2" x14ac:dyDescent="0.3">
      <c r="A33" s="20"/>
      <c r="B33" s="19"/>
    </row>
    <row r="34" spans="1:2" x14ac:dyDescent="0.3">
      <c r="A34" s="20"/>
      <c r="B34" s="19"/>
    </row>
    <row r="35" spans="1:2" x14ac:dyDescent="0.3">
      <c r="A35" s="20"/>
      <c r="B35" s="19"/>
    </row>
    <row r="36" spans="1:2" x14ac:dyDescent="0.3">
      <c r="A36" s="20"/>
      <c r="B36" s="19"/>
    </row>
    <row r="37" spans="1:2" x14ac:dyDescent="0.3">
      <c r="A37" s="20"/>
      <c r="B37" s="19"/>
    </row>
    <row r="38" spans="1:2" x14ac:dyDescent="0.3">
      <c r="A38" s="20"/>
      <c r="B38" s="19"/>
    </row>
    <row r="39" spans="1:2" x14ac:dyDescent="0.3">
      <c r="A39" s="20"/>
      <c r="B39" s="19"/>
    </row>
    <row r="40" spans="1:2" x14ac:dyDescent="0.3">
      <c r="A40" s="20"/>
      <c r="B40" s="19"/>
    </row>
    <row r="41" spans="1:2" x14ac:dyDescent="0.3">
      <c r="A41" s="20"/>
      <c r="B41" s="19"/>
    </row>
    <row r="42" spans="1:2" x14ac:dyDescent="0.3">
      <c r="A42" s="20"/>
      <c r="B42" s="19"/>
    </row>
    <row r="43" spans="1:2" x14ac:dyDescent="0.3">
      <c r="A43" s="20"/>
      <c r="B43" s="19"/>
    </row>
    <row r="44" spans="1:2" x14ac:dyDescent="0.3">
      <c r="A44" s="20"/>
      <c r="B44" s="19"/>
    </row>
    <row r="45" spans="1:2" x14ac:dyDescent="0.3">
      <c r="A45" s="20"/>
      <c r="B45" s="19"/>
    </row>
    <row r="46" spans="1:2" x14ac:dyDescent="0.3">
      <c r="A46" s="20"/>
      <c r="B46" s="19"/>
    </row>
    <row r="47" spans="1:2" x14ac:dyDescent="0.3">
      <c r="A47" s="20"/>
      <c r="B47" s="19"/>
    </row>
    <row r="48" spans="1:2" x14ac:dyDescent="0.3">
      <c r="A48" s="20"/>
      <c r="B48" s="19"/>
    </row>
    <row r="49" spans="1:2" x14ac:dyDescent="0.3">
      <c r="A49" s="20"/>
      <c r="B49" s="19"/>
    </row>
    <row r="50" spans="1:2" x14ac:dyDescent="0.3">
      <c r="A50" s="20"/>
      <c r="B50" s="19"/>
    </row>
    <row r="51" spans="1:2" x14ac:dyDescent="0.3">
      <c r="A51" s="20"/>
      <c r="B51" s="19"/>
    </row>
    <row r="52" spans="1:2" x14ac:dyDescent="0.3">
      <c r="A52" s="20"/>
      <c r="B52" s="19"/>
    </row>
    <row r="53" spans="1:2" x14ac:dyDescent="0.3">
      <c r="A53" s="20"/>
      <c r="B53" s="19"/>
    </row>
    <row r="54" spans="1:2" x14ac:dyDescent="0.3">
      <c r="A54" s="20"/>
      <c r="B54" s="19"/>
    </row>
    <row r="55" spans="1:2" x14ac:dyDescent="0.3">
      <c r="A55" s="20"/>
      <c r="B55" s="19"/>
    </row>
    <row r="56" spans="1:2" x14ac:dyDescent="0.3">
      <c r="A56" s="20"/>
      <c r="B56" s="19"/>
    </row>
    <row r="57" spans="1:2" x14ac:dyDescent="0.3">
      <c r="A57" s="20"/>
      <c r="B57" s="19"/>
    </row>
    <row r="58" spans="1:2" x14ac:dyDescent="0.3">
      <c r="A58" s="20"/>
      <c r="B58" s="19"/>
    </row>
    <row r="59" spans="1:2" x14ac:dyDescent="0.3">
      <c r="A59" s="20"/>
      <c r="B59" s="19"/>
    </row>
    <row r="60" spans="1:2" x14ac:dyDescent="0.3">
      <c r="A60" s="20"/>
      <c r="B60" s="19"/>
    </row>
    <row r="61" spans="1:2" x14ac:dyDescent="0.3">
      <c r="A61" s="20"/>
      <c r="B61" s="19"/>
    </row>
    <row r="62" spans="1:2" x14ac:dyDescent="0.3">
      <c r="A62" s="20"/>
      <c r="B62" s="19"/>
    </row>
    <row r="63" spans="1:2" x14ac:dyDescent="0.3">
      <c r="A63" s="20"/>
      <c r="B63" s="19"/>
    </row>
    <row r="64" spans="1:2" x14ac:dyDescent="0.3">
      <c r="A64" s="20"/>
      <c r="B64" s="19"/>
    </row>
    <row r="65" spans="1:2" x14ac:dyDescent="0.3">
      <c r="A65" s="20"/>
      <c r="B65" s="19"/>
    </row>
    <row r="66" spans="1:2" x14ac:dyDescent="0.3">
      <c r="A66" s="20"/>
      <c r="B66" s="19"/>
    </row>
    <row r="67" spans="1:2" x14ac:dyDescent="0.3">
      <c r="A67" s="20"/>
      <c r="B67" s="19"/>
    </row>
    <row r="68" spans="1:2" x14ac:dyDescent="0.3">
      <c r="A68" s="20"/>
      <c r="B68" s="19"/>
    </row>
    <row r="69" spans="1:2" x14ac:dyDescent="0.3">
      <c r="A69" s="20"/>
      <c r="B69" s="19"/>
    </row>
    <row r="70" spans="1:2" x14ac:dyDescent="0.3">
      <c r="A70" s="20"/>
      <c r="B70" s="19"/>
    </row>
    <row r="71" spans="1:2" x14ac:dyDescent="0.3">
      <c r="A71" s="20"/>
      <c r="B71" s="19"/>
    </row>
    <row r="72" spans="1:2" x14ac:dyDescent="0.3">
      <c r="A72" s="20"/>
      <c r="B72" s="19"/>
    </row>
    <row r="73" spans="1:2" x14ac:dyDescent="0.3">
      <c r="A73" s="20"/>
      <c r="B73" s="19"/>
    </row>
    <row r="74" spans="1:2" x14ac:dyDescent="0.3">
      <c r="A74" s="20"/>
      <c r="B74" s="19"/>
    </row>
    <row r="75" spans="1:2" x14ac:dyDescent="0.3">
      <c r="A75" s="20"/>
      <c r="B75" s="19"/>
    </row>
    <row r="76" spans="1:2" x14ac:dyDescent="0.3">
      <c r="A76" s="20"/>
      <c r="B76" s="19"/>
    </row>
    <row r="77" spans="1:2" x14ac:dyDescent="0.3">
      <c r="A77" s="20"/>
      <c r="B77" s="19"/>
    </row>
    <row r="78" spans="1:2" x14ac:dyDescent="0.3">
      <c r="A78" s="20"/>
      <c r="B78" s="19"/>
    </row>
    <row r="79" spans="1:2" x14ac:dyDescent="0.3">
      <c r="A79" s="20"/>
      <c r="B79" s="19"/>
    </row>
    <row r="80" spans="1:2" x14ac:dyDescent="0.3">
      <c r="A80" s="20"/>
      <c r="B80" s="19"/>
    </row>
    <row r="81" spans="1:2" x14ac:dyDescent="0.3">
      <c r="A81" s="20"/>
      <c r="B81" s="19"/>
    </row>
    <row r="82" spans="1:2" x14ac:dyDescent="0.3">
      <c r="A82" s="20"/>
      <c r="B82" s="19"/>
    </row>
    <row r="83" spans="1:2" x14ac:dyDescent="0.3">
      <c r="A83" s="20"/>
      <c r="B83" s="19"/>
    </row>
    <row r="84" spans="1:2" x14ac:dyDescent="0.3">
      <c r="A84" s="20"/>
      <c r="B84" s="19"/>
    </row>
    <row r="85" spans="1:2" x14ac:dyDescent="0.3">
      <c r="A85" s="20"/>
      <c r="B85" s="19"/>
    </row>
    <row r="86" spans="1:2" x14ac:dyDescent="0.3">
      <c r="A86" s="20"/>
      <c r="B86" s="19"/>
    </row>
    <row r="87" spans="1:2" x14ac:dyDescent="0.3">
      <c r="A87" s="20"/>
      <c r="B87" s="19"/>
    </row>
    <row r="88" spans="1:2" x14ac:dyDescent="0.3">
      <c r="A88" s="20"/>
      <c r="B88" s="19"/>
    </row>
    <row r="89" spans="1:2" x14ac:dyDescent="0.3">
      <c r="A89" s="20"/>
      <c r="B89" s="19"/>
    </row>
    <row r="90" spans="1:2" x14ac:dyDescent="0.3">
      <c r="A90" s="20"/>
      <c r="B90" s="19"/>
    </row>
    <row r="91" spans="1:2" x14ac:dyDescent="0.3">
      <c r="A91" s="20"/>
      <c r="B91" s="19"/>
    </row>
    <row r="92" spans="1:2" x14ac:dyDescent="0.3">
      <c r="A92" s="20"/>
      <c r="B92" s="19"/>
    </row>
    <row r="93" spans="1:2" x14ac:dyDescent="0.3">
      <c r="A93" s="20"/>
      <c r="B93" s="19"/>
    </row>
    <row r="94" spans="1:2" x14ac:dyDescent="0.3">
      <c r="A94" s="20"/>
      <c r="B94" s="19"/>
    </row>
    <row r="95" spans="1:2" x14ac:dyDescent="0.3">
      <c r="A95" s="20"/>
      <c r="B95" s="19"/>
    </row>
    <row r="96" spans="1:2" x14ac:dyDescent="0.3">
      <c r="A96" s="20"/>
      <c r="B96" s="19"/>
    </row>
    <row r="97" spans="1:2" x14ac:dyDescent="0.3">
      <c r="A97" s="20"/>
      <c r="B97" s="19"/>
    </row>
    <row r="98" spans="1:2" x14ac:dyDescent="0.3">
      <c r="A98" s="20"/>
      <c r="B98" s="19"/>
    </row>
    <row r="99" spans="1:2" x14ac:dyDescent="0.3">
      <c r="A99" s="20"/>
      <c r="B99" s="19"/>
    </row>
    <row r="100" spans="1:2" x14ac:dyDescent="0.3">
      <c r="A100" s="20"/>
      <c r="B100" s="19"/>
    </row>
    <row r="101" spans="1:2" x14ac:dyDescent="0.3">
      <c r="A101" s="20"/>
      <c r="B101" s="19"/>
    </row>
    <row r="102" spans="1:2" x14ac:dyDescent="0.3">
      <c r="A102" s="20"/>
      <c r="B102" s="19"/>
    </row>
    <row r="103" spans="1:2" x14ac:dyDescent="0.3">
      <c r="A103" s="20"/>
      <c r="B103" s="19"/>
    </row>
  </sheetData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C3AED"/>
    <pageSetUpPr fitToPage="1"/>
  </sheetPr>
  <dimension ref="A1:E13"/>
  <sheetViews>
    <sheetView showGridLines="0" workbookViewId="0"/>
  </sheetViews>
  <sheetFormatPr defaultRowHeight="14.4" x14ac:dyDescent="0.3"/>
  <cols>
    <col min="1" max="1" width="30" customWidth="1"/>
    <col min="2" max="2" width="22" customWidth="1"/>
    <col min="3" max="3" width="4" customWidth="1"/>
    <col min="4" max="4" width="16" customWidth="1"/>
    <col min="5" max="5" width="10" customWidth="1"/>
  </cols>
  <sheetData>
    <row r="1" spans="1:5" ht="25.95" customHeight="1" x14ac:dyDescent="0.4">
      <c r="A1" s="1" t="s">
        <v>111</v>
      </c>
    </row>
    <row r="2" spans="1:5" x14ac:dyDescent="0.3">
      <c r="A2" s="2" t="s">
        <v>112</v>
      </c>
    </row>
    <row r="3" spans="1:5" ht="31.95" customHeight="1" x14ac:dyDescent="0.3">
      <c r="A3" s="12" t="s">
        <v>113</v>
      </c>
      <c r="B3" s="15" t="str">
        <f>Settings!B3</f>
        <v>Company website redesign</v>
      </c>
      <c r="D3" s="17" t="s">
        <v>114</v>
      </c>
      <c r="E3" s="17" t="s">
        <v>115</v>
      </c>
    </row>
    <row r="4" spans="1:5" x14ac:dyDescent="0.3">
      <c r="A4" s="12" t="s">
        <v>29</v>
      </c>
      <c r="B4" s="15" t="str">
        <f>Settings!B4</f>
        <v>Priya Nair</v>
      </c>
      <c r="D4" s="25" t="s">
        <v>116</v>
      </c>
      <c r="E4" s="26">
        <f ca="1">COUNTIFS(Plan!$C$6:$C$155,"Task",Plan!$I$6:$I$155,D4)</f>
        <v>4</v>
      </c>
    </row>
    <row r="5" spans="1:5" x14ac:dyDescent="0.3">
      <c r="A5" s="12" t="s">
        <v>117</v>
      </c>
      <c r="B5" s="27">
        <f>IF(COUNT(Plan!$AO$6:$AO$155)=0,"",MIN(Plan!$AO$6:$AO$155))</f>
        <v>46307</v>
      </c>
      <c r="D5" s="25" t="s">
        <v>118</v>
      </c>
      <c r="E5" s="26">
        <f ca="1">COUNTIFS(Plan!$C$6:$C$155,"Task",Plan!$I$6:$I$155,D5)</f>
        <v>1</v>
      </c>
    </row>
    <row r="6" spans="1:5" x14ac:dyDescent="0.3">
      <c r="A6" s="12" t="s">
        <v>119</v>
      </c>
      <c r="B6" s="27">
        <f>IF(COUNT(Plan!$AP$6:$AP$155)=0,"",MAX(Plan!$AP$6:$AP$155))</f>
        <v>46366</v>
      </c>
      <c r="D6" s="25" t="s">
        <v>120</v>
      </c>
      <c r="E6" s="26">
        <f ca="1">COUNTIFS(Plan!$C$6:$C$155,"Task",Plan!$I$6:$I$155,D6)</f>
        <v>1</v>
      </c>
    </row>
    <row r="7" spans="1:5" x14ac:dyDescent="0.3">
      <c r="A7" s="12" t="s">
        <v>121</v>
      </c>
      <c r="B7" s="28">
        <f>IF(B5="","",NETWORKDAYS.INTL(B5,B6,Settings!$B$9,Holidays!$A$4:$A$103))</f>
        <v>44</v>
      </c>
      <c r="D7" s="25" t="s">
        <v>122</v>
      </c>
      <c r="E7" s="26">
        <f ca="1">COUNTIFS(Plan!$C$6:$C$155,"Task",Plan!$I$6:$I$155,D7)</f>
        <v>6</v>
      </c>
    </row>
    <row r="8" spans="1:5" x14ac:dyDescent="0.3">
      <c r="A8" s="12" t="s">
        <v>123</v>
      </c>
      <c r="B8" s="29">
        <f ca="1">IF(B5="","",MAX(0,MIN(1,(TODAY()-B5+1)/(B6-B5+1))))</f>
        <v>0.36666666666666664</v>
      </c>
      <c r="D8" s="25" t="s">
        <v>124</v>
      </c>
      <c r="E8" s="26">
        <f ca="1">COUNTIFS(Plan!$C$6:$C$155,"Task",Plan!$I$6:$I$155,D8)</f>
        <v>0</v>
      </c>
    </row>
    <row r="9" spans="1:5" x14ac:dyDescent="0.3">
      <c r="A9" s="12" t="s">
        <v>125</v>
      </c>
      <c r="B9" s="30">
        <f>IF(SUMIF(Plan!$C$6:$C$155,"Task",Plan!$F$6:$F$155)=0,"",SUMPRODUCT(--(Plan!$C$6:$C$155="Task"),Plan!$F$6:$F$155,Plan!$H$6:$H$155)/SUMIF(Plan!$C$6:$C$155,"Task",Plan!$F$6:$F$155))</f>
        <v>0.44307692307692309</v>
      </c>
      <c r="D9" s="31" t="s">
        <v>126</v>
      </c>
      <c r="E9" s="32">
        <f>COUNTIF(Plan!$C$6:$C$155,"Task")</f>
        <v>12</v>
      </c>
    </row>
    <row r="10" spans="1:5" x14ac:dyDescent="0.3">
      <c r="A10" s="12" t="s">
        <v>127</v>
      </c>
      <c r="B10" s="15" t="str">
        <f>IF(COUNT(Plan!$AS$6:$AS$155)=0,"None open",INDEX(Plan!$B$6:$B$155,MATCH(MIN(Plan!$AS$6:$AS$155),Plan!$AS$6:$AS$155,0)))</f>
        <v>Design approved by sponsor</v>
      </c>
      <c r="D10" s="25" t="s">
        <v>128</v>
      </c>
      <c r="E10" s="26" t="str">
        <f ca="1">COUNTIFS(Plan!$C$6:$C$155,"Milestone",Plan!$I$6:$I$155,"Done")&amp;" of "&amp;COUNTIF(Plan!$C$6:$C$155,"Milestone")</f>
        <v>1 of 3</v>
      </c>
    </row>
    <row r="11" spans="1:5" x14ac:dyDescent="0.3">
      <c r="A11" s="12" t="s">
        <v>129</v>
      </c>
      <c r="B11" s="27">
        <f>IF(COUNT(Plan!$AS$6:$AS$155)=0,"",MIN(Plan!$AS$6:$AS$155))</f>
        <v>46329</v>
      </c>
    </row>
    <row r="12" spans="1:5" x14ac:dyDescent="0.3">
      <c r="A12" s="33" t="s">
        <v>130</v>
      </c>
      <c r="B12" s="34"/>
    </row>
    <row r="13" spans="1:5" x14ac:dyDescent="0.3">
      <c r="A13" s="34"/>
      <c r="B13" s="34"/>
    </row>
  </sheetData>
  <sheetProtection sheet="1" formatCells="0" formatColumns="0" formatRows="0" sort="0" autoFilter="0"/>
  <mergeCells count="1">
    <mergeCell ref="A12:B13"/>
  </mergeCells>
  <pageMargins left="0.4" right="0.4" top="1" bottom="1" header="0.5" footer="0.5"/>
  <pageSetup paperSize="9" fitToHeight="0"/>
  <headerFooter>
    <oddFooter>&amp;C&amp;8 Toolkit by GroupChatOn  ·  toolkit.groupchaton.com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"/>
  <sheetViews>
    <sheetView workbookViewId="0"/>
  </sheetViews>
  <sheetFormatPr defaultRowHeight="14.4" x14ac:dyDescent="0.3"/>
  <sheetData>
    <row r="1" spans="1:4" x14ac:dyDescent="0.3">
      <c r="A1" t="s">
        <v>32</v>
      </c>
      <c r="B1" t="s">
        <v>131</v>
      </c>
      <c r="C1" t="s">
        <v>60</v>
      </c>
      <c r="D1" t="s">
        <v>37</v>
      </c>
    </row>
    <row r="2" spans="1:4" x14ac:dyDescent="0.3">
      <c r="A2" t="s">
        <v>132</v>
      </c>
      <c r="B2" t="s">
        <v>133</v>
      </c>
      <c r="C2" t="s">
        <v>67</v>
      </c>
      <c r="D2" t="s">
        <v>134</v>
      </c>
    </row>
    <row r="3" spans="1:4" x14ac:dyDescent="0.3">
      <c r="A3" t="s">
        <v>135</v>
      </c>
      <c r="B3" t="s">
        <v>136</v>
      </c>
      <c r="C3" t="s">
        <v>63</v>
      </c>
    </row>
    <row r="4" spans="1:4" x14ac:dyDescent="0.3">
      <c r="A4" t="s">
        <v>137</v>
      </c>
      <c r="B4" t="s">
        <v>138</v>
      </c>
    </row>
    <row r="5" spans="1:4" x14ac:dyDescent="0.3">
      <c r="A5" t="s">
        <v>139</v>
      </c>
      <c r="B5" t="s">
        <v>140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How to use</vt:lpstr>
      <vt:lpstr>Settings</vt:lpstr>
      <vt:lpstr>Plan</vt:lpstr>
      <vt:lpstr>Holidays</vt:lpstr>
      <vt:lpstr>Summary</vt:lpstr>
      <vt:lpstr>Lists</vt:lpstr>
      <vt:lpstr>Plan!Print_Area</vt:lpstr>
      <vt:lpstr>Plan!Print_Titles</vt:lpstr>
    </vt:vector>
  </TitlesOfParts>
  <Company>Nivesh Sahayak</Company>
  <LinksUpToDate>false</LinksUpToDate>
  <SharedDoc>false</SharedDoc>
  <HyperlinkBase>https://www.niveshsahayak.in/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Gantt Chart Project Plan (Excel)</dc:title>
  <dc:subject>Free Excel Gantt chart: phases, tasks and milestones with start date and working-day duration; end dates skip weekly offs and holidays, bars show % done and a today line.</dc:subject>
  <dc:creator>Nivesh Sahayak</dc:creator>
  <cp:keywords>Toolkit by GroupChatOn; Designed &amp; Developed by: Nivesh Sahayak</cp:keywords>
  <dc:description>Gantt Chart Project Plan (Excel). From Toolkit by GroupChatOn (https://toolkit.groupchaton.com). Designed &amp; Developed by: Nivesh Sahayak (https://www.niveshsahayak.in/)</dc:description>
  <cp:lastModifiedBy>Nivesh Sahayak</cp:lastModifiedBy>
  <dcterms:created xsi:type="dcterms:W3CDTF">2026-11-02T18:21:58Z</dcterms:created>
  <dcterms:modified xsi:type="dcterms:W3CDTF">2026-11-02T18:22:54Z</dcterms:modified>
  <cp:category>Project Management</cp:category>
</cp:coreProperties>
</file>