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laudeAi\GroupChatOn\toolkit-groupchaton\files\"/>
    </mc:Choice>
  </mc:AlternateContent>
  <xr:revisionPtr revIDLastSave="0" documentId="13_ncr:1_{06E58BFD-8987-4130-A26F-E596758A870E}" xr6:coauthVersionLast="47" xr6:coauthVersionMax="47" xr10:uidLastSave="{00000000-0000-0000-0000-000000000000}"/>
  <bookViews>
    <workbookView xWindow="-108" yWindow="-108" windowWidth="23256" windowHeight="12456" xr2:uid="{00000000-000D-0000-FFFF-FFFF00000000}"/>
  </bookViews>
  <sheets>
    <sheet name="How to use" sheetId="1" r:id="rId1"/>
    <sheet name="Settings" sheetId="2" r:id="rId2"/>
    <sheet name="Daily Sales" sheetId="3" r:id="rId3"/>
    <sheet name="Month Summary" sheetId="4" r:id="rId4"/>
  </sheets>
  <definedNames>
    <definedName name="_xlnm.Print_Titles" localSheetId="2">'Daily Sales'!$4:$4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0" i="4" l="1"/>
  <c r="D10" i="4"/>
  <c r="A10" i="4"/>
  <c r="H9" i="4"/>
  <c r="D9" i="4"/>
  <c r="A9" i="4"/>
  <c r="H8" i="4"/>
  <c r="D8" i="4"/>
  <c r="B8" i="4"/>
  <c r="A8" i="4"/>
  <c r="H7" i="4"/>
  <c r="D7" i="4"/>
  <c r="B7" i="4"/>
  <c r="A7" i="4"/>
  <c r="H6" i="4"/>
  <c r="D6" i="4"/>
  <c r="A6" i="4"/>
  <c r="H5" i="4"/>
  <c r="D5" i="4"/>
  <c r="A5" i="4"/>
  <c r="A2" i="4"/>
  <c r="N37" i="3"/>
  <c r="B21" i="4" s="1"/>
  <c r="M37" i="3"/>
  <c r="B20" i="4" s="1"/>
  <c r="J37" i="3"/>
  <c r="B10" i="4" s="1"/>
  <c r="I37" i="3"/>
  <c r="B9" i="4" s="1"/>
  <c r="H37" i="3"/>
  <c r="G37" i="3"/>
  <c r="F37" i="3"/>
  <c r="B6" i="4" s="1"/>
  <c r="E37" i="3"/>
  <c r="B5" i="4" s="1"/>
  <c r="C37" i="3"/>
  <c r="A35" i="3"/>
  <c r="D35" i="3" s="1"/>
  <c r="A34" i="3"/>
  <c r="L34" i="3" s="1"/>
  <c r="A33" i="3"/>
  <c r="Q33" i="3" s="1"/>
  <c r="A32" i="3"/>
  <c r="K32" i="3" s="1"/>
  <c r="A31" i="3"/>
  <c r="B31" i="3" s="1"/>
  <c r="A30" i="3"/>
  <c r="B30" i="3" s="1"/>
  <c r="Q29" i="3"/>
  <c r="A29" i="3"/>
  <c r="L29" i="3" s="1"/>
  <c r="A28" i="3"/>
  <c r="L28" i="3" s="1"/>
  <c r="A27" i="3"/>
  <c r="A26" i="3"/>
  <c r="Q26" i="3" s="1"/>
  <c r="A25" i="3"/>
  <c r="Q25" i="3" s="1"/>
  <c r="A24" i="3"/>
  <c r="K24" i="3" s="1"/>
  <c r="A23" i="3"/>
  <c r="Q23" i="3" s="1"/>
  <c r="A22" i="3"/>
  <c r="Q22" i="3" s="1"/>
  <c r="A21" i="3"/>
  <c r="Q21" i="3" s="1"/>
  <c r="A20" i="3"/>
  <c r="Q20" i="3" s="1"/>
  <c r="A19" i="3"/>
  <c r="Q19" i="3" s="1"/>
  <c r="A18" i="3"/>
  <c r="B18" i="3" s="1"/>
  <c r="A17" i="3"/>
  <c r="A16" i="3"/>
  <c r="Q16" i="3" s="1"/>
  <c r="A15" i="3"/>
  <c r="B15" i="3" s="1"/>
  <c r="A14" i="3"/>
  <c r="K14" i="3" s="1"/>
  <c r="A13" i="3"/>
  <c r="Q13" i="3" s="1"/>
  <c r="A12" i="3"/>
  <c r="K12" i="3" s="1"/>
  <c r="A11" i="3"/>
  <c r="B11" i="3" s="1"/>
  <c r="A10" i="3"/>
  <c r="B10" i="3" s="1"/>
  <c r="A9" i="3"/>
  <c r="A8" i="3"/>
  <c r="D8" i="3" s="1"/>
  <c r="O8" i="3" s="1"/>
  <c r="Q8" i="3" s="1"/>
  <c r="A7" i="3"/>
  <c r="D7" i="3" s="1"/>
  <c r="A6" i="3"/>
  <c r="A5" i="3"/>
  <c r="K5" i="3" s="1"/>
  <c r="J4" i="3"/>
  <c r="I4" i="3"/>
  <c r="H4" i="3"/>
  <c r="G4" i="3"/>
  <c r="F4" i="3"/>
  <c r="E4" i="3"/>
  <c r="A2" i="3"/>
  <c r="B34" i="3" l="1"/>
  <c r="Q34" i="3"/>
  <c r="K20" i="3"/>
  <c r="L20" i="3"/>
  <c r="B20" i="3"/>
  <c r="K34" i="3"/>
  <c r="L25" i="3"/>
  <c r="K11" i="3"/>
  <c r="L11" i="3"/>
  <c r="Q11" i="3"/>
  <c r="Q18" i="3"/>
  <c r="K35" i="3"/>
  <c r="D11" i="3"/>
  <c r="O11" i="3" s="1"/>
  <c r="K18" i="3"/>
  <c r="L18" i="3"/>
  <c r="L12" i="3"/>
  <c r="K28" i="3"/>
  <c r="L35" i="3"/>
  <c r="Q12" i="3"/>
  <c r="Q28" i="3"/>
  <c r="O35" i="3"/>
  <c r="Q35" i="3"/>
  <c r="L14" i="3"/>
  <c r="B21" i="3"/>
  <c r="K31" i="3"/>
  <c r="B14" i="3"/>
  <c r="Q14" i="3"/>
  <c r="K21" i="3"/>
  <c r="L31" i="3"/>
  <c r="L21" i="3"/>
  <c r="Q31" i="3"/>
  <c r="K15" i="3"/>
  <c r="L15" i="3"/>
  <c r="L32" i="3"/>
  <c r="K8" i="3"/>
  <c r="L8" i="3" s="1"/>
  <c r="Q15" i="3"/>
  <c r="Q32" i="3"/>
  <c r="B11" i="4"/>
  <c r="E5" i="4"/>
  <c r="E9" i="4"/>
  <c r="F9" i="4" s="1"/>
  <c r="E10" i="4"/>
  <c r="F10" i="4" s="1"/>
  <c r="G10" i="4" s="1"/>
  <c r="E6" i="4"/>
  <c r="F6" i="4" s="1"/>
  <c r="G6" i="4" s="1"/>
  <c r="L5" i="3"/>
  <c r="K7" i="3"/>
  <c r="L7" i="3" s="1"/>
  <c r="D10" i="3"/>
  <c r="B13" i="3"/>
  <c r="L24" i="3"/>
  <c r="K27" i="3"/>
  <c r="B33" i="3"/>
  <c r="K10" i="3"/>
  <c r="L10" i="3" s="1"/>
  <c r="B16" i="3"/>
  <c r="L27" i="3"/>
  <c r="K30" i="3"/>
  <c r="E8" i="4"/>
  <c r="F8" i="4" s="1"/>
  <c r="O7" i="3"/>
  <c r="Q7" i="3" s="1"/>
  <c r="K13" i="3"/>
  <c r="B19" i="3"/>
  <c r="Q24" i="3"/>
  <c r="L30" i="3"/>
  <c r="K33" i="3"/>
  <c r="O10" i="3"/>
  <c r="Q10" i="3" s="1"/>
  <c r="L13" i="3"/>
  <c r="K16" i="3"/>
  <c r="B22" i="3"/>
  <c r="Q27" i="3"/>
  <c r="L33" i="3"/>
  <c r="B5" i="3"/>
  <c r="L16" i="3"/>
  <c r="K19" i="3"/>
  <c r="B25" i="3"/>
  <c r="Q30" i="3"/>
  <c r="D5" i="3"/>
  <c r="O5" i="3" s="1"/>
  <c r="Q5" i="3" s="1"/>
  <c r="B8" i="3"/>
  <c r="L19" i="3"/>
  <c r="K22" i="3"/>
  <c r="B28" i="3"/>
  <c r="L22" i="3"/>
  <c r="K25" i="3"/>
  <c r="B14" i="4"/>
  <c r="B15" i="4" s="1"/>
  <c r="B24" i="3"/>
  <c r="B17" i="3"/>
  <c r="B7" i="3"/>
  <c r="B27" i="3"/>
  <c r="B6" i="3"/>
  <c r="B26" i="3"/>
  <c r="D6" i="3"/>
  <c r="O6" i="3" s="1"/>
  <c r="Q6" i="3" s="1"/>
  <c r="B9" i="3"/>
  <c r="K23" i="3"/>
  <c r="B29" i="3"/>
  <c r="K6" i="3"/>
  <c r="D9" i="3"/>
  <c r="O9" i="3" s="1"/>
  <c r="Q9" i="3" s="1"/>
  <c r="B12" i="3"/>
  <c r="Q17" i="3"/>
  <c r="L23" i="3"/>
  <c r="K26" i="3"/>
  <c r="B32" i="3"/>
  <c r="E7" i="4"/>
  <c r="F7" i="4" s="1"/>
  <c r="K9" i="3"/>
  <c r="L9" i="3" s="1"/>
  <c r="D12" i="3"/>
  <c r="O12" i="3" s="1"/>
  <c r="D13" i="3" s="1"/>
  <c r="O13" i="3" s="1"/>
  <c r="D14" i="3" s="1"/>
  <c r="O14" i="3" s="1"/>
  <c r="D15" i="3" s="1"/>
  <c r="O15" i="3" s="1"/>
  <c r="D16" i="3" s="1"/>
  <c r="O16" i="3" s="1"/>
  <c r="D17" i="3" s="1"/>
  <c r="O17" i="3" s="1"/>
  <c r="D18" i="3" s="1"/>
  <c r="O18" i="3" s="1"/>
  <c r="D19" i="3" s="1"/>
  <c r="O19" i="3" s="1"/>
  <c r="D20" i="3" s="1"/>
  <c r="O20" i="3" s="1"/>
  <c r="D21" i="3" s="1"/>
  <c r="O21" i="3" s="1"/>
  <c r="D22" i="3" s="1"/>
  <c r="O22" i="3" s="1"/>
  <c r="D23" i="3" s="1"/>
  <c r="O23" i="3" s="1"/>
  <c r="D24" i="3" s="1"/>
  <c r="O24" i="3" s="1"/>
  <c r="D25" i="3" s="1"/>
  <c r="O25" i="3" s="1"/>
  <c r="D26" i="3" s="1"/>
  <c r="O26" i="3" s="1"/>
  <c r="D27" i="3" s="1"/>
  <c r="O27" i="3" s="1"/>
  <c r="D28" i="3" s="1"/>
  <c r="O28" i="3" s="1"/>
  <c r="D29" i="3" s="1"/>
  <c r="O29" i="3" s="1"/>
  <c r="D30" i="3" s="1"/>
  <c r="O30" i="3" s="1"/>
  <c r="D31" i="3" s="1"/>
  <c r="O31" i="3" s="1"/>
  <c r="D32" i="3" s="1"/>
  <c r="O32" i="3" s="1"/>
  <c r="D33" i="3" s="1"/>
  <c r="O33" i="3" s="1"/>
  <c r="D34" i="3" s="1"/>
  <c r="O34" i="3" s="1"/>
  <c r="L26" i="3"/>
  <c r="K29" i="3"/>
  <c r="B35" i="3"/>
  <c r="K17" i="3"/>
  <c r="B23" i="3"/>
  <c r="L17" i="3"/>
  <c r="B19" i="4" l="1"/>
  <c r="G7" i="4"/>
  <c r="B18" i="4"/>
  <c r="B16" i="4"/>
  <c r="B17" i="4" s="1"/>
  <c r="C10" i="4"/>
  <c r="C5" i="4"/>
  <c r="C7" i="4"/>
  <c r="C8" i="4"/>
  <c r="C9" i="4"/>
  <c r="C6" i="4"/>
  <c r="F5" i="4"/>
  <c r="F11" i="4" s="1"/>
  <c r="E11" i="4"/>
  <c r="B23" i="4"/>
  <c r="Q37" i="3"/>
  <c r="B22" i="4" s="1"/>
  <c r="G8" i="4"/>
  <c r="G9" i="4"/>
  <c r="K37" i="3"/>
  <c r="L37" i="3" s="1"/>
  <c r="L6" i="3"/>
  <c r="G5" i="4" l="1"/>
  <c r="G11" i="4"/>
  <c r="C11" i="4"/>
</calcChain>
</file>

<file path=xl/sharedStrings.xml><?xml version="1.0" encoding="utf-8"?>
<sst xmlns="http://schemas.openxmlformats.org/spreadsheetml/2006/main" count="88" uniqueCount="80">
  <si>
    <t>Restaurant Daily Sales &amp; Cash Register (Excel)</t>
  </si>
  <si>
    <t>Toolkit by GroupChatOn · free template · https://toolkit.groupchaton.com</t>
  </si>
  <si>
    <t>One row per day for the whole month. Type the day's takings under Cash, UPI, Card, Swiggy, Zomato and Other, the cash you paid out of the counter and the cash you banked. The register adds up the day, works out the average bill, tells you how much cash should be in the drawer, and shows the shortage or excess once you type the counted cash. The Month Summary splits sales by payment mode, estimates aggregator commission and the money still to arrive in the bank.</t>
  </si>
  <si>
    <t>Colours</t>
  </si>
  <si>
    <t>Yellow cells: type or pick here.</t>
  </si>
  <si>
    <t>Grey and white cells: calculate by themselves. Don't type over them.</t>
  </si>
  <si>
    <t>Steps</t>
  </si>
  <si>
    <t>Open the Settings sheet. Type your restaurant name, the first day of the month (for example 01-11-2026) and the cash float you keep in the drawer at opening.</t>
  </si>
  <si>
    <t>In the payment-mode table, type the commission percent you pay on Swiggy and Zomato orders (and card charges if you want them counted). Leave Cash and UPI at 0.</t>
  </si>
  <si>
    <t>Every night, on the Daily Sales sheet, type the number of bills and the sales in each payment mode from your billing software or KOT book.</t>
  </si>
  <si>
    <t>Type cash paid out of the counter (vegetables, gas, staff advance) and cash you deposited in the bank or handed to the owner.</t>
  </si>
  <si>
    <t>Count the drawer and type the counted cash. Short / Excess shows the difference; investigate anything in red the same night.</t>
  </si>
  <si>
    <t>At month end, open the Month Summary for totals by mode and the commission estimate, then start a fresh copy for the next month.</t>
  </si>
  <si>
    <t>Tips</t>
  </si>
  <si>
    <t>•</t>
  </si>
  <si>
    <t>Use the sales figure after discount and before GST if you want the register to match your GST returns; use the figure including GST if you want it to match the money received. Pick one and stick to it.</t>
  </si>
  <si>
    <t>Aggregator payouts deduct commission, payment gateway fees, GST on those charges, TCS and TDS, and sometimes ad spend; the estimate here covers commission and GST on it only. Match each weekly payout with the statement from Swiggy or Zomato.</t>
  </si>
  <si>
    <t>Each day starts from the cash you counted the night before, so a shortage shows only on the day it happened instead of hiding in later days.</t>
  </si>
  <si>
    <t>Average bill value (sales ÷ bills) is one of the best numbers to watch: a combo or an add-on suggestion moves it more than a new dish.</t>
  </si>
  <si>
    <t>Full guide, questions and answers, and more free templates:</t>
  </si>
  <si>
    <t>https://toolkit.groupchaton.com/restaurant/rest-daily-sales-excel/</t>
  </si>
  <si>
    <t>Designed &amp; Developed by: Nivesh Sahayak</t>
  </si>
  <si>
    <t>Free to use for your own work and your clients' work. Please don't sell or re-publish this file. The calculations are a help, not professional advice: check figures, tax rates and rules before you rely on them.</t>
  </si>
  <si>
    <t>Settings</t>
  </si>
  <si>
    <t>Fill once a month. Payment-mode names and commission are used on the other sheets.</t>
  </si>
  <si>
    <t>Restaurant name</t>
  </si>
  <si>
    <t>Spice Route Family Restaurant</t>
  </si>
  <si>
    <t>Month (first day)</t>
  </si>
  <si>
    <t>Opening cash float in drawer</t>
  </si>
  <si>
    <t>GST on aggregator commission</t>
  </si>
  <si>
    <t>Payment mode (rename if you like)</t>
  </si>
  <si>
    <t>Money goes to</t>
  </si>
  <si>
    <t>Commission %</t>
  </si>
  <si>
    <t>Cash</t>
  </si>
  <si>
    <t>Cash drawer</t>
  </si>
  <si>
    <t>UPI</t>
  </si>
  <si>
    <t>Bank (same day)</t>
  </si>
  <si>
    <t>Card</t>
  </si>
  <si>
    <t>Bank (next day)</t>
  </si>
  <si>
    <t>Swiggy</t>
  </si>
  <si>
    <t>Bank (weekly payout)</t>
  </si>
  <si>
    <t>Zomato</t>
  </si>
  <si>
    <t>Other</t>
  </si>
  <si>
    <t>Bank</t>
  </si>
  <si>
    <t>Commission is an estimate: aggregator payouts also deduct payment gateway fees, GST on fees, TCS, TDS and any ads or offers you run. Match each payout with the statement from the platform.</t>
  </si>
  <si>
    <t>Daily sales and cash drawer</t>
  </si>
  <si>
    <t>Date</t>
  </si>
  <si>
    <t>Day</t>
  </si>
  <si>
    <t>Bills</t>
  </si>
  <si>
    <t>Opening cash</t>
  </si>
  <si>
    <t>Total sales</t>
  </si>
  <si>
    <t>Average bill</t>
  </si>
  <si>
    <t>Cash paid out</t>
  </si>
  <si>
    <t>Cash deposited / handed over</t>
  </si>
  <si>
    <t>Expected cash in drawer</t>
  </si>
  <si>
    <t>Counted cash</t>
  </si>
  <si>
    <t>Short (−) / Excess (+)</t>
  </si>
  <si>
    <t>Notes</t>
  </si>
  <si>
    <t>Gas cylinder paid in cash</t>
  </si>
  <si>
    <t>Party order advance under Other</t>
  </si>
  <si>
    <t>Excess ₹20: change not taken by a guest</t>
  </si>
  <si>
    <t>Busy dinner; ₹50 short</t>
  </si>
  <si>
    <t>Month total</t>
  </si>
  <si>
    <t>Month summary</t>
  </si>
  <si>
    <t>Payment mode</t>
  </si>
  <si>
    <t>Sales</t>
  </si>
  <si>
    <t>Share</t>
  </si>
  <si>
    <t>Commission</t>
  </si>
  <si>
    <t>GST on commission</t>
  </si>
  <si>
    <t>Net to receive</t>
  </si>
  <si>
    <t>Total</t>
  </si>
  <si>
    <t>Key figures for the month</t>
  </si>
  <si>
    <t>Average bill value</t>
  </si>
  <si>
    <t>Days with sales</t>
  </si>
  <si>
    <t>Average sales per day</t>
  </si>
  <si>
    <t>Best day</t>
  </si>
  <si>
    <t>Sales on the best day</t>
  </si>
  <si>
    <t>Cash paid out of the counter</t>
  </si>
  <si>
    <t>Total cash short (−) / excess (+)</t>
  </si>
  <si>
    <t>Days the cash was short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</si>
</sst>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mmmm\ yyyy"/>
    <numFmt numFmtId="165" formatCode="[&gt;=10000000]\₹\ ##\,##\,##\,##0.00;[&gt;=100000]\₹\ ##\,##\,##0.00;\₹\ ##,##0.00"/>
    <numFmt numFmtId="166" formatCode="0.0%"/>
    <numFmt numFmtId="167" formatCode="dd\-mm\-yyyy"/>
    <numFmt numFmtId="168" formatCode="[&gt;=10000000]\₹\ ##\,##\,##\,##0;[&gt;=100000]\₹\ ##\,##\,##0;\₹\ ##,##0"/>
    <numFmt numFmtId="169" formatCode="\+#,##0;\−#,##0;0"/>
  </numFmts>
  <fonts count="12" x14ac:knownFonts="1">
    <font>
      <sz val="11"/>
      <color theme="1"/>
      <name val="Calibri"/>
      <family val="2"/>
      <scheme val="minor"/>
    </font>
    <font>
      <b/>
      <sz val="16"/>
      <color rgb="FF2563EB"/>
      <name val="Calibri"/>
    </font>
    <font>
      <i/>
      <sz val="10"/>
      <color rgb="FF55607A"/>
      <name val="Calibri"/>
    </font>
    <font>
      <sz val="11"/>
      <color rgb="FF14213D"/>
      <name val="Calibri"/>
    </font>
    <font>
      <b/>
      <sz val="12"/>
      <color rgb="FF2563EB"/>
      <name val="Calibri"/>
    </font>
    <font>
      <b/>
      <sz val="11"/>
      <color rgb="FF2563EB"/>
      <name val="Calibri"/>
    </font>
    <font>
      <b/>
      <sz val="11"/>
      <color rgb="FF14213D"/>
      <name val="Calibri"/>
    </font>
    <font>
      <u/>
      <sz val="11"/>
      <color rgb="FF2563EB"/>
      <name val="Calibri"/>
    </font>
    <font>
      <b/>
      <sz val="11"/>
      <color rgb="FF14213D"/>
      <name val="Calibri"/>
    </font>
    <font>
      <sz val="9"/>
      <color rgb="FF55607A"/>
      <name val="Calibri"/>
    </font>
    <font>
      <b/>
      <sz val="11"/>
      <color rgb="FFFFFFFF"/>
      <name val="Calibri"/>
    </font>
    <font>
      <sz val="10"/>
      <color rgb="FF55607A"/>
      <name val="Calibri"/>
    </font>
  </fonts>
  <fills count="6">
    <fill>
      <patternFill patternType="none"/>
    </fill>
    <fill>
      <patternFill patternType="gray125"/>
    </fill>
    <fill>
      <patternFill patternType="solid">
        <fgColor rgb="FFFFF7D6"/>
      </patternFill>
    </fill>
    <fill>
      <patternFill patternType="solid">
        <fgColor rgb="FFF1F5F9"/>
      </patternFill>
    </fill>
    <fill>
      <patternFill patternType="solid">
        <fgColor rgb="FF2563EB"/>
      </patternFill>
    </fill>
    <fill>
      <patternFill patternType="solid">
        <fgColor rgb="FFE8F0FE"/>
      </patternFill>
    </fill>
  </fills>
  <borders count="3">
    <border>
      <left/>
      <right/>
      <top/>
      <bottom/>
      <diagonal/>
    </border>
    <border>
      <left style="thin">
        <color rgb="FFCBD5E1"/>
      </left>
      <right style="thin">
        <color rgb="FFCBD5E1"/>
      </right>
      <top style="thin">
        <color rgb="FFCBD5E1"/>
      </top>
      <bottom style="thin">
        <color rgb="FFCBD5E1"/>
      </bottom>
      <diagonal/>
    </border>
    <border>
      <left/>
      <right style="thin">
        <color rgb="FFCBD5E1"/>
      </right>
      <top style="thin">
        <color rgb="FFCBD5E1"/>
      </top>
      <bottom style="thin">
        <color rgb="FFCBD5E1"/>
      </bottom>
      <diagonal/>
    </border>
  </borders>
  <cellStyleXfs count="1">
    <xf numFmtId="0" fontId="0" fillId="0" borderId="0"/>
  </cellStyleXfs>
  <cellXfs count="44">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0" fillId="2" borderId="0" xfId="0" applyFill="1"/>
    <xf numFmtId="0" fontId="0" fillId="3" borderId="0" xfId="0" applyFill="1"/>
    <xf numFmtId="0" fontId="5" fillId="0" borderId="0" xfId="0" applyFont="1"/>
    <xf numFmtId="0" fontId="6" fillId="0" borderId="0" xfId="0" applyFont="1" applyAlignment="1">
      <alignment vertical="top" wrapText="1"/>
    </xf>
    <xf numFmtId="0" fontId="7" fillId="0" borderId="0" xfId="0" applyFont="1"/>
    <xf numFmtId="0" fontId="8" fillId="0" borderId="0" xfId="0" applyFont="1"/>
    <xf numFmtId="0" fontId="9" fillId="0" borderId="0" xfId="0" applyFont="1" applyAlignment="1">
      <alignment vertical="top" wrapText="1"/>
    </xf>
    <xf numFmtId="0" fontId="6" fillId="0" borderId="0" xfId="0" applyFont="1"/>
    <xf numFmtId="0" fontId="0" fillId="2" borderId="1" xfId="0" applyFill="1" applyBorder="1" applyAlignment="1" applyProtection="1">
      <alignment horizontal="left" vertical="center"/>
      <protection locked="0"/>
    </xf>
    <xf numFmtId="164" fontId="0" fillId="2" borderId="1" xfId="0" applyNumberFormat="1" applyFill="1" applyBorder="1" applyAlignment="1" applyProtection="1">
      <alignment horizontal="left" vertical="center"/>
      <protection locked="0"/>
    </xf>
    <xf numFmtId="165" fontId="0" fillId="2" borderId="1" xfId="0" applyNumberFormat="1" applyFill="1" applyBorder="1" applyAlignment="1" applyProtection="1">
      <alignment horizontal="left" vertical="center"/>
      <protection locked="0"/>
    </xf>
    <xf numFmtId="9" fontId="0" fillId="2" borderId="1" xfId="0" applyNumberFormat="1" applyFill="1" applyBorder="1" applyAlignment="1" applyProtection="1">
      <alignment horizontal="left" vertical="center"/>
      <protection locked="0"/>
    </xf>
    <xf numFmtId="0" fontId="10" fillId="4" borderId="1" xfId="0" applyFont="1" applyFill="1" applyBorder="1" applyAlignment="1">
      <alignment horizontal="center" vertical="center" wrapText="1"/>
    </xf>
    <xf numFmtId="0" fontId="0" fillId="2" borderId="1" xfId="0" applyFill="1" applyBorder="1" applyProtection="1">
      <protection locked="0"/>
    </xf>
    <xf numFmtId="166" fontId="0" fillId="2" borderId="1" xfId="0" applyNumberFormat="1" applyFill="1" applyBorder="1" applyProtection="1">
      <protection locked="0"/>
    </xf>
    <xf numFmtId="0" fontId="11" fillId="0" borderId="0" xfId="0" applyFont="1"/>
    <xf numFmtId="167" fontId="0" fillId="3" borderId="1" xfId="0" applyNumberFormat="1" applyFill="1" applyBorder="1"/>
    <xf numFmtId="0" fontId="0" fillId="3" borderId="1" xfId="0" applyFill="1" applyBorder="1" applyAlignment="1">
      <alignment horizontal="center" vertical="center"/>
    </xf>
    <xf numFmtId="0" fontId="0" fillId="2" borderId="1" xfId="0" applyFill="1" applyBorder="1" applyAlignment="1" applyProtection="1">
      <alignment horizontal="center" vertical="center"/>
      <protection locked="0"/>
    </xf>
    <xf numFmtId="168" fontId="0" fillId="3" borderId="1" xfId="0" applyNumberFormat="1" applyFill="1" applyBorder="1"/>
    <xf numFmtId="168" fontId="0" fillId="2" borderId="1" xfId="0" applyNumberFormat="1" applyFill="1" applyBorder="1" applyProtection="1">
      <protection locked="0"/>
    </xf>
    <xf numFmtId="168" fontId="6" fillId="3" borderId="1" xfId="0" applyNumberFormat="1" applyFont="1" applyFill="1" applyBorder="1"/>
    <xf numFmtId="169" fontId="0" fillId="3" borderId="1" xfId="0" applyNumberFormat="1" applyFill="1" applyBorder="1"/>
    <xf numFmtId="0" fontId="6" fillId="5" borderId="1" xfId="0" applyFont="1" applyFill="1" applyBorder="1"/>
    <xf numFmtId="1" fontId="6" fillId="5" borderId="1" xfId="0" applyNumberFormat="1" applyFont="1" applyFill="1" applyBorder="1"/>
    <xf numFmtId="168" fontId="6" fillId="5" borderId="1" xfId="0" applyNumberFormat="1" applyFont="1" applyFill="1" applyBorder="1"/>
    <xf numFmtId="0" fontId="0" fillId="0" borderId="1" xfId="0" applyBorder="1"/>
    <xf numFmtId="166" fontId="0" fillId="3" borderId="1" xfId="0" applyNumberFormat="1" applyFill="1" applyBorder="1" applyAlignment="1">
      <alignment horizontal="center" vertical="center"/>
    </xf>
    <xf numFmtId="165" fontId="0" fillId="3" borderId="1" xfId="0" applyNumberFormat="1" applyFill="1" applyBorder="1"/>
    <xf numFmtId="166" fontId="6" fillId="5" borderId="1" xfId="0" applyNumberFormat="1" applyFont="1" applyFill="1" applyBorder="1"/>
    <xf numFmtId="165" fontId="6" fillId="5" borderId="1" xfId="0" applyNumberFormat="1" applyFont="1" applyFill="1" applyBorder="1"/>
    <xf numFmtId="1" fontId="0" fillId="3" borderId="1" xfId="0" applyNumberFormat="1" applyFill="1" applyBorder="1" applyAlignment="1">
      <alignment horizontal="right" vertical="center"/>
    </xf>
    <xf numFmtId="168" fontId="0" fillId="3" borderId="1" xfId="0" applyNumberFormat="1" applyFill="1" applyBorder="1" applyAlignment="1">
      <alignment horizontal="right" vertical="center"/>
    </xf>
    <xf numFmtId="167" fontId="0" fillId="3" borderId="1" xfId="0" applyNumberFormat="1" applyFill="1" applyBorder="1" applyAlignment="1">
      <alignment horizontal="right" vertical="center"/>
    </xf>
    <xf numFmtId="169" fontId="0" fillId="3" borderId="1" xfId="0" applyNumberFormat="1" applyFill="1" applyBorder="1" applyAlignment="1">
      <alignment horizontal="right" vertical="center"/>
    </xf>
    <xf numFmtId="0" fontId="9" fillId="0" borderId="0" xfId="0" applyFont="1" applyAlignment="1">
      <alignment vertical="center" wrapText="1"/>
    </xf>
    <xf numFmtId="0" fontId="0" fillId="0" borderId="0" xfId="0"/>
    <xf numFmtId="0" fontId="6" fillId="5" borderId="1" xfId="0" applyFont="1" applyFill="1" applyBorder="1"/>
    <xf numFmtId="0" fontId="0" fillId="0" borderId="2" xfId="0" applyBorder="1"/>
  </cellXfs>
  <cellStyles count="1">
    <cellStyle name="Normal" xfId="0" builtinId="0"/>
  </cellStyles>
  <dxfs count="3">
    <dxf>
      <fill>
        <patternFill patternType="solid">
          <fgColor rgb="FFDCFCE7"/>
        </patternFill>
      </fill>
    </dxf>
    <dxf>
      <font>
        <b/>
        <color rgb="FFB91C1C"/>
      </font>
      <fill>
        <patternFill patternType="solid">
          <fgColor rgb="FFFECACA"/>
        </patternFill>
      </fill>
    </dxf>
    <dxf>
      <font>
        <b/>
        <color rgb="FFDC2626"/>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0"/>
  <c:chart>
    <c:title>
      <c:tx>
        <c:rich>
          <a:bodyPr/>
          <a:lstStyle/>
          <a:p>
            <a:pPr>
              <a:defRPr/>
            </a:pPr>
            <a:r>
              <a:t>Sales by payment mode</a:t>
            </a:r>
          </a:p>
        </c:rich>
      </c:tx>
      <c:overlay val="1"/>
    </c:title>
    <c:autoTitleDeleted val="0"/>
    <c:plotArea>
      <c:layout/>
      <c:barChart>
        <c:barDir val="bar"/>
        <c:grouping val="clustered"/>
        <c:varyColors val="1"/>
        <c:ser>
          <c:idx val="0"/>
          <c:order val="0"/>
          <c:tx>
            <c:strRef>
              <c:f>'Month Summary'!$B$4</c:f>
              <c:strCache>
                <c:ptCount val="1"/>
                <c:pt idx="0">
                  <c:v>Sales</c:v>
                </c:pt>
              </c:strCache>
            </c:strRef>
          </c:tx>
          <c:spPr>
            <a:solidFill>
              <a:srgbClr val="DC2626"/>
            </a:solidFill>
            <a:ln>
              <a:prstDash val="solid"/>
            </a:ln>
          </c:spPr>
          <c:invertIfNegative val="1"/>
          <c:cat>
            <c:strRef>
              <c:f>'Month Summary'!$A$5:$A$10</c:f>
              <c:strCache>
                <c:ptCount val="6"/>
                <c:pt idx="0">
                  <c:v>Cash</c:v>
                </c:pt>
                <c:pt idx="1">
                  <c:v>UPI</c:v>
                </c:pt>
                <c:pt idx="2">
                  <c:v>Card</c:v>
                </c:pt>
                <c:pt idx="3">
                  <c:v>Swiggy</c:v>
                </c:pt>
                <c:pt idx="4">
                  <c:v>Zomato</c:v>
                </c:pt>
                <c:pt idx="5">
                  <c:v>Other</c:v>
                </c:pt>
              </c:strCache>
            </c:strRef>
          </c:cat>
          <c:val>
            <c:numRef>
              <c:f>'Month Summary'!$B$5:$B$10</c:f>
              <c:numCache>
                <c:formatCode>[&gt;=10000000]\₹\ ##\,##\,##\,##0;[&gt;=100000]\₹\ ##\,##\,##0;\₹\ ##,##0</c:formatCode>
                <c:ptCount val="6"/>
                <c:pt idx="0">
                  <c:v>66400</c:v>
                </c:pt>
                <c:pt idx="1">
                  <c:v>97350</c:v>
                </c:pt>
                <c:pt idx="2">
                  <c:v>42300</c:v>
                </c:pt>
                <c:pt idx="3">
                  <c:v>49800</c:v>
                </c:pt>
                <c:pt idx="4">
                  <c:v>46150</c:v>
                </c:pt>
                <c:pt idx="5">
                  <c:v>1200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EF21-4F4A-9A28-A58D59C949D5}"/>
            </c:ext>
          </c:extLst>
        </c:ser>
        <c:dLbls>
          <c:showLegendKey val="0"/>
          <c:showVal val="0"/>
          <c:showCatName val="0"/>
          <c:showSerName val="0"/>
          <c:showPercent val="0"/>
          <c:showBubbleSize val="0"/>
        </c:dLbls>
        <c:gapWidth val="150"/>
        <c:axId val="10"/>
        <c:axId val="100"/>
      </c:barChart>
      <c:catAx>
        <c:axId val="10"/>
        <c:scaling>
          <c:orientation val="minMax"/>
        </c:scaling>
        <c:delete val="1"/>
        <c:axPos val="l"/>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1"/>
        <c:axPos val="b"/>
        <c:majorGridlines/>
        <c:numFmt formatCode="[&gt;=10000000]\₹\ ##\,##\,##\,##0;[&gt;=100000]\₹\ ##\,##\,##0;\₹\ ##,##0" sourceLinked="1"/>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3</xdr:col>
      <xdr:colOff>0</xdr:colOff>
      <xdr:row>12</xdr:row>
      <xdr:rowOff>0</xdr:rowOff>
    </xdr:from>
    <xdr:ext cx="5040000" cy="2700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niveshsahayak.in/" TargetMode="External"/><Relationship Id="rId1" Type="http://schemas.openxmlformats.org/officeDocument/2006/relationships/hyperlink" Target="https://toolkit.groupchaton.com/restaurant/rest-daily-sales-excel/"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A34A"/>
    <pageSetUpPr fitToPage="1"/>
  </sheetPr>
  <dimension ref="A1:B28"/>
  <sheetViews>
    <sheetView showGridLines="0" tabSelected="1" workbookViewId="0"/>
  </sheetViews>
  <sheetFormatPr defaultRowHeight="14.4" x14ac:dyDescent="0.3"/>
  <cols>
    <col min="1" max="1" width="4" customWidth="1"/>
    <col min="2" max="2" width="100" customWidth="1"/>
  </cols>
  <sheetData>
    <row r="1" spans="1:2" ht="25.95" customHeight="1" x14ac:dyDescent="0.4">
      <c r="A1" s="1" t="s">
        <v>0</v>
      </c>
    </row>
    <row r="2" spans="1:2" x14ac:dyDescent="0.3">
      <c r="A2" s="2" t="s">
        <v>1</v>
      </c>
    </row>
    <row r="4" spans="1:2" ht="75" customHeight="1" x14ac:dyDescent="0.3">
      <c r="B4" s="3" t="s">
        <v>2</v>
      </c>
    </row>
    <row r="6" spans="1:2" ht="18" customHeight="1" x14ac:dyDescent="0.3">
      <c r="B6" s="4" t="s">
        <v>3</v>
      </c>
    </row>
    <row r="7" spans="1:2" ht="18" customHeight="1" x14ac:dyDescent="0.3">
      <c r="A7" s="5"/>
      <c r="B7" s="3" t="s">
        <v>4</v>
      </c>
    </row>
    <row r="8" spans="1:2" ht="18" customHeight="1" x14ac:dyDescent="0.3">
      <c r="A8" s="6"/>
      <c r="B8" s="3" t="s">
        <v>5</v>
      </c>
    </row>
    <row r="10" spans="1:2" ht="18" customHeight="1" x14ac:dyDescent="0.3">
      <c r="B10" s="4" t="s">
        <v>6</v>
      </c>
    </row>
    <row r="11" spans="1:2" ht="30" customHeight="1" x14ac:dyDescent="0.3">
      <c r="A11" s="7">
        <v>1</v>
      </c>
      <c r="B11" s="3" t="s">
        <v>7</v>
      </c>
    </row>
    <row r="12" spans="1:2" ht="30" customHeight="1" x14ac:dyDescent="0.3">
      <c r="A12" s="7">
        <v>2</v>
      </c>
      <c r="B12" s="3" t="s">
        <v>8</v>
      </c>
    </row>
    <row r="13" spans="1:2" ht="30" customHeight="1" x14ac:dyDescent="0.3">
      <c r="A13" s="7">
        <v>3</v>
      </c>
      <c r="B13" s="3" t="s">
        <v>9</v>
      </c>
    </row>
    <row r="14" spans="1:2" ht="30" customHeight="1" x14ac:dyDescent="0.3">
      <c r="A14" s="7">
        <v>4</v>
      </c>
      <c r="B14" s="3" t="s">
        <v>10</v>
      </c>
    </row>
    <row r="15" spans="1:2" ht="30" customHeight="1" x14ac:dyDescent="0.3">
      <c r="A15" s="7">
        <v>5</v>
      </c>
      <c r="B15" s="3" t="s">
        <v>11</v>
      </c>
    </row>
    <row r="16" spans="1:2" ht="30" customHeight="1" x14ac:dyDescent="0.3">
      <c r="A16" s="7">
        <v>6</v>
      </c>
      <c r="B16" s="3" t="s">
        <v>12</v>
      </c>
    </row>
    <row r="18" spans="1:2" ht="18" customHeight="1" x14ac:dyDescent="0.3">
      <c r="B18" s="4" t="s">
        <v>13</v>
      </c>
    </row>
    <row r="19" spans="1:2" ht="45" customHeight="1" x14ac:dyDescent="0.3">
      <c r="A19" t="s">
        <v>14</v>
      </c>
      <c r="B19" s="3" t="s">
        <v>15</v>
      </c>
    </row>
    <row r="20" spans="1:2" ht="45" customHeight="1" x14ac:dyDescent="0.3">
      <c r="A20" t="s">
        <v>14</v>
      </c>
      <c r="B20" s="3" t="s">
        <v>16</v>
      </c>
    </row>
    <row r="21" spans="1:2" ht="30" customHeight="1" x14ac:dyDescent="0.3">
      <c r="A21" t="s">
        <v>14</v>
      </c>
      <c r="B21" s="3" t="s">
        <v>17</v>
      </c>
    </row>
    <row r="22" spans="1:2" ht="30" customHeight="1" x14ac:dyDescent="0.3">
      <c r="A22" t="s">
        <v>14</v>
      </c>
      <c r="B22" s="3" t="s">
        <v>18</v>
      </c>
    </row>
    <row r="24" spans="1:2" ht="18" customHeight="1" x14ac:dyDescent="0.3">
      <c r="B24" s="8" t="s">
        <v>19</v>
      </c>
    </row>
    <row r="25" spans="1:2" x14ac:dyDescent="0.3">
      <c r="B25" s="9" t="s">
        <v>20</v>
      </c>
    </row>
    <row r="27" spans="1:2" x14ac:dyDescent="0.3">
      <c r="B27" s="10" t="s">
        <v>21</v>
      </c>
    </row>
    <row r="28" spans="1:2" ht="45" customHeight="1" x14ac:dyDescent="0.3">
      <c r="B28" s="11" t="s">
        <v>22</v>
      </c>
    </row>
  </sheetData>
  <hyperlinks>
    <hyperlink ref="B25" r:id="rId1" xr:uid="{00000000-0004-0000-0000-000000000000}"/>
    <hyperlink ref="B27" r:id="rId2" xr:uid="{00000000-0004-0000-0000-000001000000}"/>
  </hyperlinks>
  <pageMargins left="0.4" right="0.4" top="1" bottom="1" header="0.5" footer="0.5"/>
  <pageSetup paperSize="9" fitToHeight="0"/>
  <headerFooter>
    <oddFooter>&amp;C&amp;8 Toolkit by GroupChatOn  ·  toolkit.groupchaton.com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8"/>
  <sheetViews>
    <sheetView showGridLines="0" workbookViewId="0"/>
  </sheetViews>
  <sheetFormatPr defaultRowHeight="14.4" x14ac:dyDescent="0.3"/>
  <cols>
    <col min="1" max="1" width="30" customWidth="1"/>
    <col min="2" max="2" width="24" customWidth="1"/>
    <col min="3" max="3" width="15" customWidth="1"/>
  </cols>
  <sheetData>
    <row r="1" spans="1:3" ht="25.95" customHeight="1" x14ac:dyDescent="0.4">
      <c r="A1" s="1" t="s">
        <v>23</v>
      </c>
    </row>
    <row r="2" spans="1:3" x14ac:dyDescent="0.3">
      <c r="A2" s="2" t="s">
        <v>24</v>
      </c>
    </row>
    <row r="3" spans="1:3" x14ac:dyDescent="0.3">
      <c r="A3" s="12" t="s">
        <v>25</v>
      </c>
      <c r="B3" s="13" t="s">
        <v>26</v>
      </c>
    </row>
    <row r="4" spans="1:3" x14ac:dyDescent="0.3">
      <c r="A4" s="12" t="s">
        <v>27</v>
      </c>
      <c r="B4" s="14">
        <v>46327</v>
      </c>
    </row>
    <row r="5" spans="1:3" x14ac:dyDescent="0.3">
      <c r="A5" s="12" t="s">
        <v>28</v>
      </c>
      <c r="B5" s="15">
        <v>2000</v>
      </c>
    </row>
    <row r="6" spans="1:3" x14ac:dyDescent="0.3">
      <c r="A6" s="12" t="s">
        <v>29</v>
      </c>
      <c r="B6" s="16">
        <v>0.18</v>
      </c>
    </row>
    <row r="8" spans="1:3" ht="31.95" customHeight="1" x14ac:dyDescent="0.3">
      <c r="A8" s="17" t="s">
        <v>30</v>
      </c>
      <c r="B8" s="17" t="s">
        <v>31</v>
      </c>
      <c r="C8" s="17" t="s">
        <v>32</v>
      </c>
    </row>
    <row r="9" spans="1:3" x14ac:dyDescent="0.3">
      <c r="A9" s="18" t="s">
        <v>33</v>
      </c>
      <c r="B9" s="18" t="s">
        <v>34</v>
      </c>
      <c r="C9" s="19">
        <v>0</v>
      </c>
    </row>
    <row r="10" spans="1:3" x14ac:dyDescent="0.3">
      <c r="A10" s="18" t="s">
        <v>35</v>
      </c>
      <c r="B10" s="18" t="s">
        <v>36</v>
      </c>
      <c r="C10" s="19">
        <v>0</v>
      </c>
    </row>
    <row r="11" spans="1:3" x14ac:dyDescent="0.3">
      <c r="A11" s="18" t="s">
        <v>37</v>
      </c>
      <c r="B11" s="18" t="s">
        <v>38</v>
      </c>
      <c r="C11" s="19">
        <v>0</v>
      </c>
    </row>
    <row r="12" spans="1:3" x14ac:dyDescent="0.3">
      <c r="A12" s="18" t="s">
        <v>39</v>
      </c>
      <c r="B12" s="18" t="s">
        <v>40</v>
      </c>
      <c r="C12" s="19">
        <v>0.25</v>
      </c>
    </row>
    <row r="13" spans="1:3" x14ac:dyDescent="0.3">
      <c r="A13" s="18" t="s">
        <v>41</v>
      </c>
      <c r="B13" s="18" t="s">
        <v>40</v>
      </c>
      <c r="C13" s="19">
        <v>0.25</v>
      </c>
    </row>
    <row r="14" spans="1:3" x14ac:dyDescent="0.3">
      <c r="A14" s="18" t="s">
        <v>42</v>
      </c>
      <c r="B14" s="18" t="s">
        <v>43</v>
      </c>
      <c r="C14" s="19">
        <v>0</v>
      </c>
    </row>
    <row r="16" spans="1:3" x14ac:dyDescent="0.3">
      <c r="A16" s="40" t="s">
        <v>44</v>
      </c>
      <c r="B16" s="41"/>
      <c r="C16" s="41"/>
    </row>
    <row r="17" spans="1:3" x14ac:dyDescent="0.3">
      <c r="A17" s="41"/>
      <c r="B17" s="41"/>
      <c r="C17" s="41"/>
    </row>
    <row r="18" spans="1:3" x14ac:dyDescent="0.3">
      <c r="A18" s="41"/>
      <c r="B18" s="41"/>
      <c r="C18" s="41"/>
    </row>
  </sheetData>
  <mergeCells count="1">
    <mergeCell ref="A16:C18"/>
  </mergeCells>
  <pageMargins left="0.4" right="0.4" top="1" bottom="1" header="0.5" footer="0.5"/>
  <pageSetup paperSize="9" fitToHeight="0"/>
  <headerFooter>
    <oddFooter>&amp;C&amp;8 Toolkit by GroupChatOn  ·  toolkit.groupchaton.com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C2626"/>
    <pageSetUpPr fitToPage="1"/>
  </sheetPr>
  <dimension ref="A1:R37"/>
  <sheetViews>
    <sheetView showGridLines="0" workbookViewId="0">
      <pane xSplit="2" ySplit="4" topLeftCell="C5" activePane="bottomRight" state="frozen"/>
      <selection pane="topRight"/>
      <selection pane="bottomLeft"/>
      <selection pane="bottomRight"/>
    </sheetView>
  </sheetViews>
  <sheetFormatPr defaultRowHeight="14.4" x14ac:dyDescent="0.3"/>
  <cols>
    <col min="1" max="1" width="11" customWidth="1"/>
    <col min="2" max="2" width="6" customWidth="1"/>
    <col min="3" max="3" width="7" customWidth="1"/>
    <col min="4" max="4" width="12" customWidth="1"/>
    <col min="5" max="10" width="11" customWidth="1"/>
    <col min="11" max="11" width="13" customWidth="1"/>
    <col min="12" max="12" width="10" customWidth="1"/>
    <col min="13" max="13" width="12" customWidth="1"/>
    <col min="14" max="16" width="13" customWidth="1"/>
    <col min="17" max="17" width="12" customWidth="1"/>
    <col min="18" max="18" width="26" customWidth="1"/>
  </cols>
  <sheetData>
    <row r="1" spans="1:18" ht="25.95" customHeight="1" x14ac:dyDescent="0.4">
      <c r="A1" s="1" t="s">
        <v>45</v>
      </c>
    </row>
    <row r="2" spans="1:18" x14ac:dyDescent="0.3">
      <c r="A2" s="20" t="str">
        <f>Settings!B3&amp;"  ·  "&amp;TEXT(Settings!B4,"mmmm yyyy")</f>
        <v>Spice Route Family Restaurant  ·  November 2026</v>
      </c>
    </row>
    <row r="4" spans="1:18" ht="31.95" customHeight="1" x14ac:dyDescent="0.3">
      <c r="A4" s="17" t="s">
        <v>46</v>
      </c>
      <c r="B4" s="17" t="s">
        <v>47</v>
      </c>
      <c r="C4" s="17" t="s">
        <v>48</v>
      </c>
      <c r="D4" s="17" t="s">
        <v>49</v>
      </c>
      <c r="E4" s="17" t="str">
        <f>Settings!A9</f>
        <v>Cash</v>
      </c>
      <c r="F4" s="17" t="str">
        <f>Settings!A10</f>
        <v>UPI</v>
      </c>
      <c r="G4" s="17" t="str">
        <f>Settings!A11</f>
        <v>Card</v>
      </c>
      <c r="H4" s="17" t="str">
        <f>Settings!A12</f>
        <v>Swiggy</v>
      </c>
      <c r="I4" s="17" t="str">
        <f>Settings!A13</f>
        <v>Zomato</v>
      </c>
      <c r="J4" s="17" t="str">
        <f>Settings!A14</f>
        <v>Other</v>
      </c>
      <c r="K4" s="17" t="s">
        <v>50</v>
      </c>
      <c r="L4" s="17" t="s">
        <v>51</v>
      </c>
      <c r="M4" s="17" t="s">
        <v>52</v>
      </c>
      <c r="N4" s="17" t="s">
        <v>53</v>
      </c>
      <c r="O4" s="17" t="s">
        <v>54</v>
      </c>
      <c r="P4" s="17" t="s">
        <v>55</v>
      </c>
      <c r="Q4" s="17" t="s">
        <v>56</v>
      </c>
      <c r="R4" s="17" t="s">
        <v>57</v>
      </c>
    </row>
    <row r="5" spans="1:18" x14ac:dyDescent="0.3">
      <c r="A5" s="21">
        <f>IF(MONTH(DATE(YEAR(Settings!$B$4),MONTH(Settings!$B$4),1))=MONTH(Settings!$B$4),DATE(YEAR(Settings!$B$4),MONTH(Settings!$B$4),1),"")</f>
        <v>46327</v>
      </c>
      <c r="B5" s="22" t="str">
        <f t="shared" ref="B5:B35" si="0">IF($A5="","",TEXT($A5,"ddd"))</f>
        <v>Sun</v>
      </c>
      <c r="C5" s="23">
        <v>64</v>
      </c>
      <c r="D5" s="24">
        <f>IF($A5="","",Settings!$B$5)</f>
        <v>2000</v>
      </c>
      <c r="E5" s="25">
        <v>16200</v>
      </c>
      <c r="F5" s="25">
        <v>22900</v>
      </c>
      <c r="G5" s="25">
        <v>10400</v>
      </c>
      <c r="H5" s="25">
        <v>11900</v>
      </c>
      <c r="I5" s="25">
        <v>11100</v>
      </c>
      <c r="J5" s="25">
        <v>0</v>
      </c>
      <c r="K5" s="26">
        <f t="shared" ref="K5:K35" si="1">IF($A5="","",SUM(E5:J5))</f>
        <v>72500</v>
      </c>
      <c r="L5" s="24">
        <f t="shared" ref="L5:L35" si="2">IF(OR($A5="",N(C5)=0),"",K5/C5)</f>
        <v>1132.8125</v>
      </c>
      <c r="M5" s="25">
        <v>1750</v>
      </c>
      <c r="N5" s="25">
        <v>13500</v>
      </c>
      <c r="O5" s="24">
        <f t="shared" ref="O5:O35" si="3">IF($A5="","",D5+N(E5)-N(M5)-N(N5))</f>
        <v>2950</v>
      </c>
      <c r="P5" s="25">
        <v>2950</v>
      </c>
      <c r="Q5" s="27">
        <f t="shared" ref="Q5:Q35" si="4">IF(OR($A5="",P5=""),"",P5-O5)</f>
        <v>0</v>
      </c>
      <c r="R5" s="18"/>
    </row>
    <row r="6" spans="1:18" x14ac:dyDescent="0.3">
      <c r="A6" s="21">
        <f>IF(MONTH(DATE(YEAR(Settings!$B$4),MONTH(Settings!$B$4),2))=MONTH(Settings!$B$4),DATE(YEAR(Settings!$B$4),MONTH(Settings!$B$4),2),"")</f>
        <v>46328</v>
      </c>
      <c r="B6" s="22" t="str">
        <f t="shared" si="0"/>
        <v>Mon</v>
      </c>
      <c r="C6" s="23">
        <v>38</v>
      </c>
      <c r="D6" s="24">
        <f t="shared" ref="D6:D35" si="5">IF($A6="","",IF(P5&lt;&gt;"",P5,O5))</f>
        <v>2950</v>
      </c>
      <c r="E6" s="25">
        <v>8200</v>
      </c>
      <c r="F6" s="25">
        <v>12600</v>
      </c>
      <c r="G6" s="25">
        <v>5100</v>
      </c>
      <c r="H6" s="25">
        <v>6800</v>
      </c>
      <c r="I6" s="25">
        <v>6250</v>
      </c>
      <c r="J6" s="25">
        <v>0</v>
      </c>
      <c r="K6" s="26">
        <f t="shared" si="1"/>
        <v>38950</v>
      </c>
      <c r="L6" s="24">
        <f t="shared" si="2"/>
        <v>1025</v>
      </c>
      <c r="M6" s="25">
        <v>900</v>
      </c>
      <c r="N6" s="25">
        <v>6000</v>
      </c>
      <c r="O6" s="24">
        <f t="shared" si="3"/>
        <v>4250</v>
      </c>
      <c r="P6" s="25">
        <v>4250</v>
      </c>
      <c r="Q6" s="27">
        <f t="shared" si="4"/>
        <v>0</v>
      </c>
      <c r="R6" s="18" t="s">
        <v>58</v>
      </c>
    </row>
    <row r="7" spans="1:18" x14ac:dyDescent="0.3">
      <c r="A7" s="21">
        <f>IF(MONTH(DATE(YEAR(Settings!$B$4),MONTH(Settings!$B$4),3))=MONTH(Settings!$B$4),DATE(YEAR(Settings!$B$4),MONTH(Settings!$B$4),3),"")</f>
        <v>46329</v>
      </c>
      <c r="B7" s="22" t="str">
        <f t="shared" si="0"/>
        <v>Tue</v>
      </c>
      <c r="C7" s="23">
        <v>35</v>
      </c>
      <c r="D7" s="24">
        <f t="shared" si="5"/>
        <v>4250</v>
      </c>
      <c r="E7" s="25">
        <v>7400</v>
      </c>
      <c r="F7" s="25">
        <v>11900</v>
      </c>
      <c r="G7" s="25">
        <v>4800</v>
      </c>
      <c r="H7" s="25">
        <v>5600</v>
      </c>
      <c r="I7" s="25">
        <v>5100</v>
      </c>
      <c r="J7" s="25">
        <v>1200</v>
      </c>
      <c r="K7" s="26">
        <f t="shared" si="1"/>
        <v>36000</v>
      </c>
      <c r="L7" s="24">
        <f t="shared" si="2"/>
        <v>1028.5714285714287</v>
      </c>
      <c r="M7" s="25">
        <v>650</v>
      </c>
      <c r="N7" s="25">
        <v>6500</v>
      </c>
      <c r="O7" s="24">
        <f t="shared" si="3"/>
        <v>4500</v>
      </c>
      <c r="P7" s="25">
        <v>4500</v>
      </c>
      <c r="Q7" s="27">
        <f t="shared" si="4"/>
        <v>0</v>
      </c>
      <c r="R7" s="18" t="s">
        <v>59</v>
      </c>
    </row>
    <row r="8" spans="1:18" x14ac:dyDescent="0.3">
      <c r="A8" s="21">
        <f>IF(MONTH(DATE(YEAR(Settings!$B$4),MONTH(Settings!$B$4),4))=MONTH(Settings!$B$4),DATE(YEAR(Settings!$B$4),MONTH(Settings!$B$4),4),"")</f>
        <v>46330</v>
      </c>
      <c r="B8" s="22" t="str">
        <f t="shared" si="0"/>
        <v>Wed</v>
      </c>
      <c r="C8" s="23">
        <v>40</v>
      </c>
      <c r="D8" s="24">
        <f t="shared" si="5"/>
        <v>4500</v>
      </c>
      <c r="E8" s="25">
        <v>9100</v>
      </c>
      <c r="F8" s="25">
        <v>13850</v>
      </c>
      <c r="G8" s="25">
        <v>5900</v>
      </c>
      <c r="H8" s="25">
        <v>6900</v>
      </c>
      <c r="I8" s="25">
        <v>6400</v>
      </c>
      <c r="J8" s="25">
        <v>0</v>
      </c>
      <c r="K8" s="26">
        <f t="shared" si="1"/>
        <v>42150</v>
      </c>
      <c r="L8" s="24">
        <f t="shared" si="2"/>
        <v>1053.75</v>
      </c>
      <c r="M8" s="25">
        <v>1200</v>
      </c>
      <c r="N8" s="25">
        <v>7500</v>
      </c>
      <c r="O8" s="24">
        <f t="shared" si="3"/>
        <v>4900</v>
      </c>
      <c r="P8" s="25">
        <v>4920</v>
      </c>
      <c r="Q8" s="27">
        <f t="shared" si="4"/>
        <v>20</v>
      </c>
      <c r="R8" s="18" t="s">
        <v>60</v>
      </c>
    </row>
    <row r="9" spans="1:18" x14ac:dyDescent="0.3">
      <c r="A9" s="21">
        <f>IF(MONTH(DATE(YEAR(Settings!$B$4),MONTH(Settings!$B$4),5))=MONTH(Settings!$B$4),DATE(YEAR(Settings!$B$4),MONTH(Settings!$B$4),5),"")</f>
        <v>46331</v>
      </c>
      <c r="B9" s="22" t="str">
        <f t="shared" si="0"/>
        <v>Thu</v>
      </c>
      <c r="C9" s="23">
        <v>44</v>
      </c>
      <c r="D9" s="24">
        <f t="shared" si="5"/>
        <v>4920</v>
      </c>
      <c r="E9" s="25">
        <v>9900</v>
      </c>
      <c r="F9" s="25">
        <v>14700</v>
      </c>
      <c r="G9" s="25">
        <v>6300</v>
      </c>
      <c r="H9" s="25">
        <v>7400</v>
      </c>
      <c r="I9" s="25">
        <v>6900</v>
      </c>
      <c r="J9" s="25">
        <v>0</v>
      </c>
      <c r="K9" s="26">
        <f t="shared" si="1"/>
        <v>45200</v>
      </c>
      <c r="L9" s="24">
        <f t="shared" si="2"/>
        <v>1027.2727272727273</v>
      </c>
      <c r="M9" s="25">
        <v>1100</v>
      </c>
      <c r="N9" s="25">
        <v>8000</v>
      </c>
      <c r="O9" s="24">
        <f t="shared" si="3"/>
        <v>5720</v>
      </c>
      <c r="P9" s="25">
        <v>5720</v>
      </c>
      <c r="Q9" s="27">
        <f t="shared" si="4"/>
        <v>0</v>
      </c>
      <c r="R9" s="18"/>
    </row>
    <row r="10" spans="1:18" x14ac:dyDescent="0.3">
      <c r="A10" s="21">
        <f>IF(MONTH(DATE(YEAR(Settings!$B$4),MONTH(Settings!$B$4),6))=MONTH(Settings!$B$4),DATE(YEAR(Settings!$B$4),MONTH(Settings!$B$4),6),"")</f>
        <v>46332</v>
      </c>
      <c r="B10" s="22" t="str">
        <f t="shared" si="0"/>
        <v>Fri</v>
      </c>
      <c r="C10" s="23">
        <v>62</v>
      </c>
      <c r="D10" s="24">
        <f t="shared" si="5"/>
        <v>5720</v>
      </c>
      <c r="E10" s="25">
        <v>15600</v>
      </c>
      <c r="F10" s="25">
        <v>21400</v>
      </c>
      <c r="G10" s="25">
        <v>9800</v>
      </c>
      <c r="H10" s="25">
        <v>11200</v>
      </c>
      <c r="I10" s="25">
        <v>10400</v>
      </c>
      <c r="J10" s="25">
        <v>0</v>
      </c>
      <c r="K10" s="26">
        <f t="shared" si="1"/>
        <v>68400</v>
      </c>
      <c r="L10" s="24">
        <f t="shared" si="2"/>
        <v>1103.2258064516129</v>
      </c>
      <c r="M10" s="25">
        <v>2300</v>
      </c>
      <c r="N10" s="25">
        <v>12000</v>
      </c>
      <c r="O10" s="24">
        <f t="shared" si="3"/>
        <v>7020</v>
      </c>
      <c r="P10" s="25">
        <v>6970</v>
      </c>
      <c r="Q10" s="27">
        <f t="shared" si="4"/>
        <v>-50</v>
      </c>
      <c r="R10" s="18" t="s">
        <v>61</v>
      </c>
    </row>
    <row r="11" spans="1:18" x14ac:dyDescent="0.3">
      <c r="A11" s="21">
        <f>IF(MONTH(DATE(YEAR(Settings!$B$4),MONTH(Settings!$B$4),7))=MONTH(Settings!$B$4),DATE(YEAR(Settings!$B$4),MONTH(Settings!$B$4),7),"")</f>
        <v>46333</v>
      </c>
      <c r="B11" s="22" t="str">
        <f t="shared" si="0"/>
        <v>Sat</v>
      </c>
      <c r="C11" s="23"/>
      <c r="D11" s="24">
        <f t="shared" si="5"/>
        <v>6970</v>
      </c>
      <c r="E11" s="25"/>
      <c r="F11" s="25"/>
      <c r="G11" s="25"/>
      <c r="H11" s="25"/>
      <c r="I11" s="25"/>
      <c r="J11" s="25"/>
      <c r="K11" s="26">
        <f t="shared" si="1"/>
        <v>0</v>
      </c>
      <c r="L11" s="24" t="str">
        <f t="shared" si="2"/>
        <v/>
      </c>
      <c r="M11" s="25"/>
      <c r="N11" s="25"/>
      <c r="O11" s="24">
        <f t="shared" si="3"/>
        <v>6970</v>
      </c>
      <c r="P11" s="25"/>
      <c r="Q11" s="27" t="str">
        <f t="shared" si="4"/>
        <v/>
      </c>
      <c r="R11" s="18"/>
    </row>
    <row r="12" spans="1:18" x14ac:dyDescent="0.3">
      <c r="A12" s="21">
        <f>IF(MONTH(DATE(YEAR(Settings!$B$4),MONTH(Settings!$B$4),8))=MONTH(Settings!$B$4),DATE(YEAR(Settings!$B$4),MONTH(Settings!$B$4),8),"")</f>
        <v>46334</v>
      </c>
      <c r="B12" s="22" t="str">
        <f t="shared" si="0"/>
        <v>Sun</v>
      </c>
      <c r="C12" s="23"/>
      <c r="D12" s="24">
        <f t="shared" si="5"/>
        <v>6970</v>
      </c>
      <c r="E12" s="25"/>
      <c r="F12" s="25"/>
      <c r="G12" s="25"/>
      <c r="H12" s="25"/>
      <c r="I12" s="25"/>
      <c r="J12" s="25"/>
      <c r="K12" s="26">
        <f t="shared" si="1"/>
        <v>0</v>
      </c>
      <c r="L12" s="24" t="str">
        <f t="shared" si="2"/>
        <v/>
      </c>
      <c r="M12" s="25"/>
      <c r="N12" s="25"/>
      <c r="O12" s="24">
        <f t="shared" si="3"/>
        <v>6970</v>
      </c>
      <c r="P12" s="25"/>
      <c r="Q12" s="27" t="str">
        <f t="shared" si="4"/>
        <v/>
      </c>
      <c r="R12" s="18"/>
    </row>
    <row r="13" spans="1:18" x14ac:dyDescent="0.3">
      <c r="A13" s="21">
        <f>IF(MONTH(DATE(YEAR(Settings!$B$4),MONTH(Settings!$B$4),9))=MONTH(Settings!$B$4),DATE(YEAR(Settings!$B$4),MONTH(Settings!$B$4),9),"")</f>
        <v>46335</v>
      </c>
      <c r="B13" s="22" t="str">
        <f t="shared" si="0"/>
        <v>Mon</v>
      </c>
      <c r="C13" s="23"/>
      <c r="D13" s="24">
        <f t="shared" si="5"/>
        <v>6970</v>
      </c>
      <c r="E13" s="25"/>
      <c r="F13" s="25"/>
      <c r="G13" s="25"/>
      <c r="H13" s="25"/>
      <c r="I13" s="25"/>
      <c r="J13" s="25"/>
      <c r="K13" s="26">
        <f t="shared" si="1"/>
        <v>0</v>
      </c>
      <c r="L13" s="24" t="str">
        <f t="shared" si="2"/>
        <v/>
      </c>
      <c r="M13" s="25"/>
      <c r="N13" s="25"/>
      <c r="O13" s="24">
        <f t="shared" si="3"/>
        <v>6970</v>
      </c>
      <c r="P13" s="25"/>
      <c r="Q13" s="27" t="str">
        <f t="shared" si="4"/>
        <v/>
      </c>
      <c r="R13" s="18"/>
    </row>
    <row r="14" spans="1:18" x14ac:dyDescent="0.3">
      <c r="A14" s="21">
        <f>IF(MONTH(DATE(YEAR(Settings!$B$4),MONTH(Settings!$B$4),10))=MONTH(Settings!$B$4),DATE(YEAR(Settings!$B$4),MONTH(Settings!$B$4),10),"")</f>
        <v>46336</v>
      </c>
      <c r="B14" s="22" t="str">
        <f t="shared" si="0"/>
        <v>Tue</v>
      </c>
      <c r="C14" s="23"/>
      <c r="D14" s="24">
        <f t="shared" si="5"/>
        <v>6970</v>
      </c>
      <c r="E14" s="25"/>
      <c r="F14" s="25"/>
      <c r="G14" s="25"/>
      <c r="H14" s="25"/>
      <c r="I14" s="25"/>
      <c r="J14" s="25"/>
      <c r="K14" s="26">
        <f t="shared" si="1"/>
        <v>0</v>
      </c>
      <c r="L14" s="24" t="str">
        <f t="shared" si="2"/>
        <v/>
      </c>
      <c r="M14" s="25"/>
      <c r="N14" s="25"/>
      <c r="O14" s="24">
        <f t="shared" si="3"/>
        <v>6970</v>
      </c>
      <c r="P14" s="25"/>
      <c r="Q14" s="27" t="str">
        <f t="shared" si="4"/>
        <v/>
      </c>
      <c r="R14" s="18"/>
    </row>
    <row r="15" spans="1:18" x14ac:dyDescent="0.3">
      <c r="A15" s="21">
        <f>IF(MONTH(DATE(YEAR(Settings!$B$4),MONTH(Settings!$B$4),11))=MONTH(Settings!$B$4),DATE(YEAR(Settings!$B$4),MONTH(Settings!$B$4),11),"")</f>
        <v>46337</v>
      </c>
      <c r="B15" s="22" t="str">
        <f t="shared" si="0"/>
        <v>Wed</v>
      </c>
      <c r="C15" s="23"/>
      <c r="D15" s="24">
        <f t="shared" si="5"/>
        <v>6970</v>
      </c>
      <c r="E15" s="25"/>
      <c r="F15" s="25"/>
      <c r="G15" s="25"/>
      <c r="H15" s="25"/>
      <c r="I15" s="25"/>
      <c r="J15" s="25"/>
      <c r="K15" s="26">
        <f t="shared" si="1"/>
        <v>0</v>
      </c>
      <c r="L15" s="24" t="str">
        <f t="shared" si="2"/>
        <v/>
      </c>
      <c r="M15" s="25"/>
      <c r="N15" s="25"/>
      <c r="O15" s="24">
        <f t="shared" si="3"/>
        <v>6970</v>
      </c>
      <c r="P15" s="25"/>
      <c r="Q15" s="27" t="str">
        <f t="shared" si="4"/>
        <v/>
      </c>
      <c r="R15" s="18"/>
    </row>
    <row r="16" spans="1:18" x14ac:dyDescent="0.3">
      <c r="A16" s="21">
        <f>IF(MONTH(DATE(YEAR(Settings!$B$4),MONTH(Settings!$B$4),12))=MONTH(Settings!$B$4),DATE(YEAR(Settings!$B$4),MONTH(Settings!$B$4),12),"")</f>
        <v>46338</v>
      </c>
      <c r="B16" s="22" t="str">
        <f t="shared" si="0"/>
        <v>Thu</v>
      </c>
      <c r="C16" s="23"/>
      <c r="D16" s="24">
        <f t="shared" si="5"/>
        <v>6970</v>
      </c>
      <c r="E16" s="25"/>
      <c r="F16" s="25"/>
      <c r="G16" s="25"/>
      <c r="H16" s="25"/>
      <c r="I16" s="25"/>
      <c r="J16" s="25"/>
      <c r="K16" s="26">
        <f t="shared" si="1"/>
        <v>0</v>
      </c>
      <c r="L16" s="24" t="str">
        <f t="shared" si="2"/>
        <v/>
      </c>
      <c r="M16" s="25"/>
      <c r="N16" s="25"/>
      <c r="O16" s="24">
        <f t="shared" si="3"/>
        <v>6970</v>
      </c>
      <c r="P16" s="25"/>
      <c r="Q16" s="27" t="str">
        <f t="shared" si="4"/>
        <v/>
      </c>
      <c r="R16" s="18"/>
    </row>
    <row r="17" spans="1:18" x14ac:dyDescent="0.3">
      <c r="A17" s="21">
        <f>IF(MONTH(DATE(YEAR(Settings!$B$4),MONTH(Settings!$B$4),13))=MONTH(Settings!$B$4),DATE(YEAR(Settings!$B$4),MONTH(Settings!$B$4),13),"")</f>
        <v>46339</v>
      </c>
      <c r="B17" s="22" t="str">
        <f t="shared" si="0"/>
        <v>Fri</v>
      </c>
      <c r="C17" s="23"/>
      <c r="D17" s="24">
        <f t="shared" si="5"/>
        <v>6970</v>
      </c>
      <c r="E17" s="25"/>
      <c r="F17" s="25"/>
      <c r="G17" s="25"/>
      <c r="H17" s="25"/>
      <c r="I17" s="25"/>
      <c r="J17" s="25"/>
      <c r="K17" s="26">
        <f t="shared" si="1"/>
        <v>0</v>
      </c>
      <c r="L17" s="24" t="str">
        <f t="shared" si="2"/>
        <v/>
      </c>
      <c r="M17" s="25"/>
      <c r="N17" s="25"/>
      <c r="O17" s="24">
        <f t="shared" si="3"/>
        <v>6970</v>
      </c>
      <c r="P17" s="25"/>
      <c r="Q17" s="27" t="str">
        <f t="shared" si="4"/>
        <v/>
      </c>
      <c r="R17" s="18"/>
    </row>
    <row r="18" spans="1:18" x14ac:dyDescent="0.3">
      <c r="A18" s="21">
        <f>IF(MONTH(DATE(YEAR(Settings!$B$4),MONTH(Settings!$B$4),14))=MONTH(Settings!$B$4),DATE(YEAR(Settings!$B$4),MONTH(Settings!$B$4),14),"")</f>
        <v>46340</v>
      </c>
      <c r="B18" s="22" t="str">
        <f t="shared" si="0"/>
        <v>Sat</v>
      </c>
      <c r="C18" s="23"/>
      <c r="D18" s="24">
        <f t="shared" si="5"/>
        <v>6970</v>
      </c>
      <c r="E18" s="25"/>
      <c r="F18" s="25"/>
      <c r="G18" s="25"/>
      <c r="H18" s="25"/>
      <c r="I18" s="25"/>
      <c r="J18" s="25"/>
      <c r="K18" s="26">
        <f t="shared" si="1"/>
        <v>0</v>
      </c>
      <c r="L18" s="24" t="str">
        <f t="shared" si="2"/>
        <v/>
      </c>
      <c r="M18" s="25"/>
      <c r="N18" s="25"/>
      <c r="O18" s="24">
        <f t="shared" si="3"/>
        <v>6970</v>
      </c>
      <c r="P18" s="25"/>
      <c r="Q18" s="27" t="str">
        <f t="shared" si="4"/>
        <v/>
      </c>
      <c r="R18" s="18"/>
    </row>
    <row r="19" spans="1:18" x14ac:dyDescent="0.3">
      <c r="A19" s="21">
        <f>IF(MONTH(DATE(YEAR(Settings!$B$4),MONTH(Settings!$B$4),15))=MONTH(Settings!$B$4),DATE(YEAR(Settings!$B$4),MONTH(Settings!$B$4),15),"")</f>
        <v>46341</v>
      </c>
      <c r="B19" s="22" t="str">
        <f t="shared" si="0"/>
        <v>Sun</v>
      </c>
      <c r="C19" s="23"/>
      <c r="D19" s="24">
        <f t="shared" si="5"/>
        <v>6970</v>
      </c>
      <c r="E19" s="25"/>
      <c r="F19" s="25"/>
      <c r="G19" s="25"/>
      <c r="H19" s="25"/>
      <c r="I19" s="25"/>
      <c r="J19" s="25"/>
      <c r="K19" s="26">
        <f t="shared" si="1"/>
        <v>0</v>
      </c>
      <c r="L19" s="24" t="str">
        <f t="shared" si="2"/>
        <v/>
      </c>
      <c r="M19" s="25"/>
      <c r="N19" s="25"/>
      <c r="O19" s="24">
        <f t="shared" si="3"/>
        <v>6970</v>
      </c>
      <c r="P19" s="25"/>
      <c r="Q19" s="27" t="str">
        <f t="shared" si="4"/>
        <v/>
      </c>
      <c r="R19" s="18"/>
    </row>
    <row r="20" spans="1:18" x14ac:dyDescent="0.3">
      <c r="A20" s="21">
        <f>IF(MONTH(DATE(YEAR(Settings!$B$4),MONTH(Settings!$B$4),16))=MONTH(Settings!$B$4),DATE(YEAR(Settings!$B$4),MONTH(Settings!$B$4),16),"")</f>
        <v>46342</v>
      </c>
      <c r="B20" s="22" t="str">
        <f t="shared" si="0"/>
        <v>Mon</v>
      </c>
      <c r="C20" s="23"/>
      <c r="D20" s="24">
        <f t="shared" si="5"/>
        <v>6970</v>
      </c>
      <c r="E20" s="25"/>
      <c r="F20" s="25"/>
      <c r="G20" s="25"/>
      <c r="H20" s="25"/>
      <c r="I20" s="25"/>
      <c r="J20" s="25"/>
      <c r="K20" s="26">
        <f t="shared" si="1"/>
        <v>0</v>
      </c>
      <c r="L20" s="24" t="str">
        <f t="shared" si="2"/>
        <v/>
      </c>
      <c r="M20" s="25"/>
      <c r="N20" s="25"/>
      <c r="O20" s="24">
        <f t="shared" si="3"/>
        <v>6970</v>
      </c>
      <c r="P20" s="25"/>
      <c r="Q20" s="27" t="str">
        <f t="shared" si="4"/>
        <v/>
      </c>
      <c r="R20" s="18"/>
    </row>
    <row r="21" spans="1:18" x14ac:dyDescent="0.3">
      <c r="A21" s="21">
        <f>IF(MONTH(DATE(YEAR(Settings!$B$4),MONTH(Settings!$B$4),17))=MONTH(Settings!$B$4),DATE(YEAR(Settings!$B$4),MONTH(Settings!$B$4),17),"")</f>
        <v>46343</v>
      </c>
      <c r="B21" s="22" t="str">
        <f t="shared" si="0"/>
        <v>Tue</v>
      </c>
      <c r="C21" s="23"/>
      <c r="D21" s="24">
        <f t="shared" si="5"/>
        <v>6970</v>
      </c>
      <c r="E21" s="25"/>
      <c r="F21" s="25"/>
      <c r="G21" s="25"/>
      <c r="H21" s="25"/>
      <c r="I21" s="25"/>
      <c r="J21" s="25"/>
      <c r="K21" s="26">
        <f t="shared" si="1"/>
        <v>0</v>
      </c>
      <c r="L21" s="24" t="str">
        <f t="shared" si="2"/>
        <v/>
      </c>
      <c r="M21" s="25"/>
      <c r="N21" s="25"/>
      <c r="O21" s="24">
        <f t="shared" si="3"/>
        <v>6970</v>
      </c>
      <c r="P21" s="25"/>
      <c r="Q21" s="27" t="str">
        <f t="shared" si="4"/>
        <v/>
      </c>
      <c r="R21" s="18"/>
    </row>
    <row r="22" spans="1:18" x14ac:dyDescent="0.3">
      <c r="A22" s="21">
        <f>IF(MONTH(DATE(YEAR(Settings!$B$4),MONTH(Settings!$B$4),18))=MONTH(Settings!$B$4),DATE(YEAR(Settings!$B$4),MONTH(Settings!$B$4),18),"")</f>
        <v>46344</v>
      </c>
      <c r="B22" s="22" t="str">
        <f t="shared" si="0"/>
        <v>Wed</v>
      </c>
      <c r="C22" s="23"/>
      <c r="D22" s="24">
        <f t="shared" si="5"/>
        <v>6970</v>
      </c>
      <c r="E22" s="25"/>
      <c r="F22" s="25"/>
      <c r="G22" s="25"/>
      <c r="H22" s="25"/>
      <c r="I22" s="25"/>
      <c r="J22" s="25"/>
      <c r="K22" s="26">
        <f t="shared" si="1"/>
        <v>0</v>
      </c>
      <c r="L22" s="24" t="str">
        <f t="shared" si="2"/>
        <v/>
      </c>
      <c r="M22" s="25"/>
      <c r="N22" s="25"/>
      <c r="O22" s="24">
        <f t="shared" si="3"/>
        <v>6970</v>
      </c>
      <c r="P22" s="25"/>
      <c r="Q22" s="27" t="str">
        <f t="shared" si="4"/>
        <v/>
      </c>
      <c r="R22" s="18"/>
    </row>
    <row r="23" spans="1:18" x14ac:dyDescent="0.3">
      <c r="A23" s="21">
        <f>IF(MONTH(DATE(YEAR(Settings!$B$4),MONTH(Settings!$B$4),19))=MONTH(Settings!$B$4),DATE(YEAR(Settings!$B$4),MONTH(Settings!$B$4),19),"")</f>
        <v>46345</v>
      </c>
      <c r="B23" s="22" t="str">
        <f t="shared" si="0"/>
        <v>Thu</v>
      </c>
      <c r="C23" s="23"/>
      <c r="D23" s="24">
        <f t="shared" si="5"/>
        <v>6970</v>
      </c>
      <c r="E23" s="25"/>
      <c r="F23" s="25"/>
      <c r="G23" s="25"/>
      <c r="H23" s="25"/>
      <c r="I23" s="25"/>
      <c r="J23" s="25"/>
      <c r="K23" s="26">
        <f t="shared" si="1"/>
        <v>0</v>
      </c>
      <c r="L23" s="24" t="str">
        <f t="shared" si="2"/>
        <v/>
      </c>
      <c r="M23" s="25"/>
      <c r="N23" s="25"/>
      <c r="O23" s="24">
        <f t="shared" si="3"/>
        <v>6970</v>
      </c>
      <c r="P23" s="25"/>
      <c r="Q23" s="27" t="str">
        <f t="shared" si="4"/>
        <v/>
      </c>
      <c r="R23" s="18"/>
    </row>
    <row r="24" spans="1:18" x14ac:dyDescent="0.3">
      <c r="A24" s="21">
        <f>IF(MONTH(DATE(YEAR(Settings!$B$4),MONTH(Settings!$B$4),20))=MONTH(Settings!$B$4),DATE(YEAR(Settings!$B$4),MONTH(Settings!$B$4),20),"")</f>
        <v>46346</v>
      </c>
      <c r="B24" s="22" t="str">
        <f t="shared" si="0"/>
        <v>Fri</v>
      </c>
      <c r="C24" s="23"/>
      <c r="D24" s="24">
        <f t="shared" si="5"/>
        <v>6970</v>
      </c>
      <c r="E24" s="25"/>
      <c r="F24" s="25"/>
      <c r="G24" s="25"/>
      <c r="H24" s="25"/>
      <c r="I24" s="25"/>
      <c r="J24" s="25"/>
      <c r="K24" s="26">
        <f t="shared" si="1"/>
        <v>0</v>
      </c>
      <c r="L24" s="24" t="str">
        <f t="shared" si="2"/>
        <v/>
      </c>
      <c r="M24" s="25"/>
      <c r="N24" s="25"/>
      <c r="O24" s="24">
        <f t="shared" si="3"/>
        <v>6970</v>
      </c>
      <c r="P24" s="25"/>
      <c r="Q24" s="27" t="str">
        <f t="shared" si="4"/>
        <v/>
      </c>
      <c r="R24" s="18"/>
    </row>
    <row r="25" spans="1:18" x14ac:dyDescent="0.3">
      <c r="A25" s="21">
        <f>IF(MONTH(DATE(YEAR(Settings!$B$4),MONTH(Settings!$B$4),21))=MONTH(Settings!$B$4),DATE(YEAR(Settings!$B$4),MONTH(Settings!$B$4),21),"")</f>
        <v>46347</v>
      </c>
      <c r="B25" s="22" t="str">
        <f t="shared" si="0"/>
        <v>Sat</v>
      </c>
      <c r="C25" s="23"/>
      <c r="D25" s="24">
        <f t="shared" si="5"/>
        <v>6970</v>
      </c>
      <c r="E25" s="25"/>
      <c r="F25" s="25"/>
      <c r="G25" s="25"/>
      <c r="H25" s="25"/>
      <c r="I25" s="25"/>
      <c r="J25" s="25"/>
      <c r="K25" s="26">
        <f t="shared" si="1"/>
        <v>0</v>
      </c>
      <c r="L25" s="24" t="str">
        <f t="shared" si="2"/>
        <v/>
      </c>
      <c r="M25" s="25"/>
      <c r="N25" s="25"/>
      <c r="O25" s="24">
        <f t="shared" si="3"/>
        <v>6970</v>
      </c>
      <c r="P25" s="25"/>
      <c r="Q25" s="27" t="str">
        <f t="shared" si="4"/>
        <v/>
      </c>
      <c r="R25" s="18"/>
    </row>
    <row r="26" spans="1:18" x14ac:dyDescent="0.3">
      <c r="A26" s="21">
        <f>IF(MONTH(DATE(YEAR(Settings!$B$4),MONTH(Settings!$B$4),22))=MONTH(Settings!$B$4),DATE(YEAR(Settings!$B$4),MONTH(Settings!$B$4),22),"")</f>
        <v>46348</v>
      </c>
      <c r="B26" s="22" t="str">
        <f t="shared" si="0"/>
        <v>Sun</v>
      </c>
      <c r="C26" s="23"/>
      <c r="D26" s="24">
        <f t="shared" si="5"/>
        <v>6970</v>
      </c>
      <c r="E26" s="25"/>
      <c r="F26" s="25"/>
      <c r="G26" s="25"/>
      <c r="H26" s="25"/>
      <c r="I26" s="25"/>
      <c r="J26" s="25"/>
      <c r="K26" s="26">
        <f t="shared" si="1"/>
        <v>0</v>
      </c>
      <c r="L26" s="24" t="str">
        <f t="shared" si="2"/>
        <v/>
      </c>
      <c r="M26" s="25"/>
      <c r="N26" s="25"/>
      <c r="O26" s="24">
        <f t="shared" si="3"/>
        <v>6970</v>
      </c>
      <c r="P26" s="25"/>
      <c r="Q26" s="27" t="str">
        <f t="shared" si="4"/>
        <v/>
      </c>
      <c r="R26" s="18"/>
    </row>
    <row r="27" spans="1:18" x14ac:dyDescent="0.3">
      <c r="A27" s="21">
        <f>IF(MONTH(DATE(YEAR(Settings!$B$4),MONTH(Settings!$B$4),23))=MONTH(Settings!$B$4),DATE(YEAR(Settings!$B$4),MONTH(Settings!$B$4),23),"")</f>
        <v>46349</v>
      </c>
      <c r="B27" s="22" t="str">
        <f t="shared" si="0"/>
        <v>Mon</v>
      </c>
      <c r="C27" s="23"/>
      <c r="D27" s="24">
        <f t="shared" si="5"/>
        <v>6970</v>
      </c>
      <c r="E27" s="25"/>
      <c r="F27" s="25"/>
      <c r="G27" s="25"/>
      <c r="H27" s="25"/>
      <c r="I27" s="25"/>
      <c r="J27" s="25"/>
      <c r="K27" s="26">
        <f t="shared" si="1"/>
        <v>0</v>
      </c>
      <c r="L27" s="24" t="str">
        <f t="shared" si="2"/>
        <v/>
      </c>
      <c r="M27" s="25"/>
      <c r="N27" s="25"/>
      <c r="O27" s="24">
        <f t="shared" si="3"/>
        <v>6970</v>
      </c>
      <c r="P27" s="25"/>
      <c r="Q27" s="27" t="str">
        <f t="shared" si="4"/>
        <v/>
      </c>
      <c r="R27" s="18"/>
    </row>
    <row r="28" spans="1:18" x14ac:dyDescent="0.3">
      <c r="A28" s="21">
        <f>IF(MONTH(DATE(YEAR(Settings!$B$4),MONTH(Settings!$B$4),24))=MONTH(Settings!$B$4),DATE(YEAR(Settings!$B$4),MONTH(Settings!$B$4),24),"")</f>
        <v>46350</v>
      </c>
      <c r="B28" s="22" t="str">
        <f t="shared" si="0"/>
        <v>Tue</v>
      </c>
      <c r="C28" s="23"/>
      <c r="D28" s="24">
        <f t="shared" si="5"/>
        <v>6970</v>
      </c>
      <c r="E28" s="25"/>
      <c r="F28" s="25"/>
      <c r="G28" s="25"/>
      <c r="H28" s="25"/>
      <c r="I28" s="25"/>
      <c r="J28" s="25"/>
      <c r="K28" s="26">
        <f t="shared" si="1"/>
        <v>0</v>
      </c>
      <c r="L28" s="24" t="str">
        <f t="shared" si="2"/>
        <v/>
      </c>
      <c r="M28" s="25"/>
      <c r="N28" s="25"/>
      <c r="O28" s="24">
        <f t="shared" si="3"/>
        <v>6970</v>
      </c>
      <c r="P28" s="25"/>
      <c r="Q28" s="27" t="str">
        <f t="shared" si="4"/>
        <v/>
      </c>
      <c r="R28" s="18"/>
    </row>
    <row r="29" spans="1:18" x14ac:dyDescent="0.3">
      <c r="A29" s="21">
        <f>IF(MONTH(DATE(YEAR(Settings!$B$4),MONTH(Settings!$B$4),25))=MONTH(Settings!$B$4),DATE(YEAR(Settings!$B$4),MONTH(Settings!$B$4),25),"")</f>
        <v>46351</v>
      </c>
      <c r="B29" s="22" t="str">
        <f t="shared" si="0"/>
        <v>Wed</v>
      </c>
      <c r="C29" s="23"/>
      <c r="D29" s="24">
        <f t="shared" si="5"/>
        <v>6970</v>
      </c>
      <c r="E29" s="25"/>
      <c r="F29" s="25"/>
      <c r="G29" s="25"/>
      <c r="H29" s="25"/>
      <c r="I29" s="25"/>
      <c r="J29" s="25"/>
      <c r="K29" s="26">
        <f t="shared" si="1"/>
        <v>0</v>
      </c>
      <c r="L29" s="24" t="str">
        <f t="shared" si="2"/>
        <v/>
      </c>
      <c r="M29" s="25"/>
      <c r="N29" s="25"/>
      <c r="O29" s="24">
        <f t="shared" si="3"/>
        <v>6970</v>
      </c>
      <c r="P29" s="25"/>
      <c r="Q29" s="27" t="str">
        <f t="shared" si="4"/>
        <v/>
      </c>
      <c r="R29" s="18"/>
    </row>
    <row r="30" spans="1:18" x14ac:dyDescent="0.3">
      <c r="A30" s="21">
        <f>IF(MONTH(DATE(YEAR(Settings!$B$4),MONTH(Settings!$B$4),26))=MONTH(Settings!$B$4),DATE(YEAR(Settings!$B$4),MONTH(Settings!$B$4),26),"")</f>
        <v>46352</v>
      </c>
      <c r="B30" s="22" t="str">
        <f t="shared" si="0"/>
        <v>Thu</v>
      </c>
      <c r="C30" s="23"/>
      <c r="D30" s="24">
        <f t="shared" si="5"/>
        <v>6970</v>
      </c>
      <c r="E30" s="25"/>
      <c r="F30" s="25"/>
      <c r="G30" s="25"/>
      <c r="H30" s="25"/>
      <c r="I30" s="25"/>
      <c r="J30" s="25"/>
      <c r="K30" s="26">
        <f t="shared" si="1"/>
        <v>0</v>
      </c>
      <c r="L30" s="24" t="str">
        <f t="shared" si="2"/>
        <v/>
      </c>
      <c r="M30" s="25"/>
      <c r="N30" s="25"/>
      <c r="O30" s="24">
        <f t="shared" si="3"/>
        <v>6970</v>
      </c>
      <c r="P30" s="25"/>
      <c r="Q30" s="27" t="str">
        <f t="shared" si="4"/>
        <v/>
      </c>
      <c r="R30" s="18"/>
    </row>
    <row r="31" spans="1:18" x14ac:dyDescent="0.3">
      <c r="A31" s="21">
        <f>IF(MONTH(DATE(YEAR(Settings!$B$4),MONTH(Settings!$B$4),27))=MONTH(Settings!$B$4),DATE(YEAR(Settings!$B$4),MONTH(Settings!$B$4),27),"")</f>
        <v>46353</v>
      </c>
      <c r="B31" s="22" t="str">
        <f t="shared" si="0"/>
        <v>Fri</v>
      </c>
      <c r="C31" s="23"/>
      <c r="D31" s="24">
        <f t="shared" si="5"/>
        <v>6970</v>
      </c>
      <c r="E31" s="25"/>
      <c r="F31" s="25"/>
      <c r="G31" s="25"/>
      <c r="H31" s="25"/>
      <c r="I31" s="25"/>
      <c r="J31" s="25"/>
      <c r="K31" s="26">
        <f t="shared" si="1"/>
        <v>0</v>
      </c>
      <c r="L31" s="24" t="str">
        <f t="shared" si="2"/>
        <v/>
      </c>
      <c r="M31" s="25"/>
      <c r="N31" s="25"/>
      <c r="O31" s="24">
        <f t="shared" si="3"/>
        <v>6970</v>
      </c>
      <c r="P31" s="25"/>
      <c r="Q31" s="27" t="str">
        <f t="shared" si="4"/>
        <v/>
      </c>
      <c r="R31" s="18"/>
    </row>
    <row r="32" spans="1:18" x14ac:dyDescent="0.3">
      <c r="A32" s="21">
        <f>IF(MONTH(DATE(YEAR(Settings!$B$4),MONTH(Settings!$B$4),28))=MONTH(Settings!$B$4),DATE(YEAR(Settings!$B$4),MONTH(Settings!$B$4),28),"")</f>
        <v>46354</v>
      </c>
      <c r="B32" s="22" t="str">
        <f t="shared" si="0"/>
        <v>Sat</v>
      </c>
      <c r="C32" s="23"/>
      <c r="D32" s="24">
        <f t="shared" si="5"/>
        <v>6970</v>
      </c>
      <c r="E32" s="25"/>
      <c r="F32" s="25"/>
      <c r="G32" s="25"/>
      <c r="H32" s="25"/>
      <c r="I32" s="25"/>
      <c r="J32" s="25"/>
      <c r="K32" s="26">
        <f t="shared" si="1"/>
        <v>0</v>
      </c>
      <c r="L32" s="24" t="str">
        <f t="shared" si="2"/>
        <v/>
      </c>
      <c r="M32" s="25"/>
      <c r="N32" s="25"/>
      <c r="O32" s="24">
        <f t="shared" si="3"/>
        <v>6970</v>
      </c>
      <c r="P32" s="25"/>
      <c r="Q32" s="27" t="str">
        <f t="shared" si="4"/>
        <v/>
      </c>
      <c r="R32" s="18"/>
    </row>
    <row r="33" spans="1:18" x14ac:dyDescent="0.3">
      <c r="A33" s="21">
        <f>IF(MONTH(DATE(YEAR(Settings!$B$4),MONTH(Settings!$B$4),29))=MONTH(Settings!$B$4),DATE(YEAR(Settings!$B$4),MONTH(Settings!$B$4),29),"")</f>
        <v>46355</v>
      </c>
      <c r="B33" s="22" t="str">
        <f t="shared" si="0"/>
        <v>Sun</v>
      </c>
      <c r="C33" s="23"/>
      <c r="D33" s="24">
        <f t="shared" si="5"/>
        <v>6970</v>
      </c>
      <c r="E33" s="25"/>
      <c r="F33" s="25"/>
      <c r="G33" s="25"/>
      <c r="H33" s="25"/>
      <c r="I33" s="25"/>
      <c r="J33" s="25"/>
      <c r="K33" s="26">
        <f t="shared" si="1"/>
        <v>0</v>
      </c>
      <c r="L33" s="24" t="str">
        <f t="shared" si="2"/>
        <v/>
      </c>
      <c r="M33" s="25"/>
      <c r="N33" s="25"/>
      <c r="O33" s="24">
        <f t="shared" si="3"/>
        <v>6970</v>
      </c>
      <c r="P33" s="25"/>
      <c r="Q33" s="27" t="str">
        <f t="shared" si="4"/>
        <v/>
      </c>
      <c r="R33" s="18"/>
    </row>
    <row r="34" spans="1:18" x14ac:dyDescent="0.3">
      <c r="A34" s="21">
        <f>IF(MONTH(DATE(YEAR(Settings!$B$4),MONTH(Settings!$B$4),30))=MONTH(Settings!$B$4),DATE(YEAR(Settings!$B$4),MONTH(Settings!$B$4),30),"")</f>
        <v>46356</v>
      </c>
      <c r="B34" s="22" t="str">
        <f t="shared" si="0"/>
        <v>Mon</v>
      </c>
      <c r="C34" s="23"/>
      <c r="D34" s="24">
        <f t="shared" si="5"/>
        <v>6970</v>
      </c>
      <c r="E34" s="25"/>
      <c r="F34" s="25"/>
      <c r="G34" s="25"/>
      <c r="H34" s="25"/>
      <c r="I34" s="25"/>
      <c r="J34" s="25"/>
      <c r="K34" s="26">
        <f t="shared" si="1"/>
        <v>0</v>
      </c>
      <c r="L34" s="24" t="str">
        <f t="shared" si="2"/>
        <v/>
      </c>
      <c r="M34" s="25"/>
      <c r="N34" s="25"/>
      <c r="O34" s="24">
        <f t="shared" si="3"/>
        <v>6970</v>
      </c>
      <c r="P34" s="25"/>
      <c r="Q34" s="27" t="str">
        <f t="shared" si="4"/>
        <v/>
      </c>
      <c r="R34" s="18"/>
    </row>
    <row r="35" spans="1:18" x14ac:dyDescent="0.3">
      <c r="A35" s="21" t="str">
        <f>IF(MONTH(DATE(YEAR(Settings!$B$4),MONTH(Settings!$B$4),31))=MONTH(Settings!$B$4),DATE(YEAR(Settings!$B$4),MONTH(Settings!$B$4),31),"")</f>
        <v/>
      </c>
      <c r="B35" s="22" t="str">
        <f t="shared" si="0"/>
        <v/>
      </c>
      <c r="C35" s="23"/>
      <c r="D35" s="24" t="str">
        <f t="shared" si="5"/>
        <v/>
      </c>
      <c r="E35" s="25"/>
      <c r="F35" s="25"/>
      <c r="G35" s="25"/>
      <c r="H35" s="25"/>
      <c r="I35" s="25"/>
      <c r="J35" s="25"/>
      <c r="K35" s="26" t="str">
        <f t="shared" si="1"/>
        <v/>
      </c>
      <c r="L35" s="24" t="str">
        <f t="shared" si="2"/>
        <v/>
      </c>
      <c r="M35" s="25"/>
      <c r="N35" s="25"/>
      <c r="O35" s="24" t="str">
        <f t="shared" si="3"/>
        <v/>
      </c>
      <c r="P35" s="25"/>
      <c r="Q35" s="27" t="str">
        <f t="shared" si="4"/>
        <v/>
      </c>
      <c r="R35" s="18"/>
    </row>
    <row r="37" spans="1:18" x14ac:dyDescent="0.3">
      <c r="A37" s="42" t="s">
        <v>62</v>
      </c>
      <c r="B37" s="43"/>
      <c r="C37" s="29">
        <f>SUM(C5:C35)</f>
        <v>283</v>
      </c>
      <c r="E37" s="30">
        <f t="shared" ref="E37:K37" si="6">SUM(E5:E35)</f>
        <v>66400</v>
      </c>
      <c r="F37" s="30">
        <f t="shared" si="6"/>
        <v>97350</v>
      </c>
      <c r="G37" s="30">
        <f t="shared" si="6"/>
        <v>42300</v>
      </c>
      <c r="H37" s="30">
        <f t="shared" si="6"/>
        <v>49800</v>
      </c>
      <c r="I37" s="30">
        <f t="shared" si="6"/>
        <v>46150</v>
      </c>
      <c r="J37" s="30">
        <f t="shared" si="6"/>
        <v>1200</v>
      </c>
      <c r="K37" s="30">
        <f t="shared" si="6"/>
        <v>303200</v>
      </c>
      <c r="L37" s="30">
        <f>IF(N(C37)=0,"",K37/C37)</f>
        <v>1071.3780918727916</v>
      </c>
      <c r="M37" s="30">
        <f>SUM(M5:M35)</f>
        <v>7900</v>
      </c>
      <c r="N37" s="30">
        <f>SUM(N5:N35)</f>
        <v>53500</v>
      </c>
      <c r="Q37" s="30">
        <f>SUM(Q5:Q35)</f>
        <v>-30</v>
      </c>
    </row>
  </sheetData>
  <sheetProtection sheet="1" formatCells="0" formatColumns="0" formatRows="0" sort="0" autoFilter="0"/>
  <mergeCells count="1">
    <mergeCell ref="A37:B37"/>
  </mergeCells>
  <conditionalFormatting sqref="A5:B35">
    <cfRule type="expression" dxfId="2" priority="3">
      <formula>AND($A5&lt;&gt;"",WEEKDAY($A5,2)&gt;5)</formula>
    </cfRule>
  </conditionalFormatting>
  <conditionalFormatting sqref="Q5:Q35">
    <cfRule type="cellIs" dxfId="1" priority="1" operator="lessThan">
      <formula>0</formula>
    </cfRule>
    <cfRule type="cellIs" dxfId="0" priority="2" operator="greaterThan">
      <formula>0</formula>
    </cfRule>
  </conditionalFormatting>
  <pageMargins left="0.4" right="0.4" top="1" bottom="1" header="0.5" footer="0.5"/>
  <pageSetup paperSize="9" fitToHeight="0" orientation="landscape"/>
  <headerFooter>
    <oddFooter>&amp;C&amp;8 Toolkit by GroupChatOn  ·  toolkit.groupchaton.com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DC2626"/>
    <pageSetUpPr fitToPage="1"/>
  </sheetPr>
  <dimension ref="A1:H23"/>
  <sheetViews>
    <sheetView showGridLines="0" workbookViewId="0"/>
  </sheetViews>
  <sheetFormatPr defaultRowHeight="14.4" x14ac:dyDescent="0.3"/>
  <cols>
    <col min="1" max="1" width="24" customWidth="1"/>
    <col min="2" max="2" width="15" customWidth="1"/>
    <col min="3" max="3" width="9" customWidth="1"/>
    <col min="4" max="4" width="13" customWidth="1"/>
    <col min="5" max="5" width="14" customWidth="1"/>
    <col min="6" max="6" width="15" customWidth="1"/>
    <col min="7" max="7" width="16" customWidth="1"/>
    <col min="8" max="8" width="24" customWidth="1"/>
  </cols>
  <sheetData>
    <row r="1" spans="1:8" ht="25.95" customHeight="1" x14ac:dyDescent="0.4">
      <c r="A1" s="1" t="s">
        <v>63</v>
      </c>
    </row>
    <row r="2" spans="1:8" x14ac:dyDescent="0.3">
      <c r="A2" s="20" t="str">
        <f>Settings!B3&amp;"  ·  "&amp;TEXT(Settings!B4,"mmmm yyyy")</f>
        <v>Spice Route Family Restaurant  ·  November 2026</v>
      </c>
    </row>
    <row r="4" spans="1:8" ht="31.95" customHeight="1" x14ac:dyDescent="0.3">
      <c r="A4" s="17" t="s">
        <v>64</v>
      </c>
      <c r="B4" s="17" t="s">
        <v>65</v>
      </c>
      <c r="C4" s="17" t="s">
        <v>66</v>
      </c>
      <c r="D4" s="17" t="s">
        <v>32</v>
      </c>
      <c r="E4" s="17" t="s">
        <v>67</v>
      </c>
      <c r="F4" s="17" t="s">
        <v>68</v>
      </c>
      <c r="G4" s="17" t="s">
        <v>69</v>
      </c>
      <c r="H4" s="17" t="s">
        <v>31</v>
      </c>
    </row>
    <row r="5" spans="1:8" x14ac:dyDescent="0.3">
      <c r="A5" s="31" t="str">
        <f>Settings!A9</f>
        <v>Cash</v>
      </c>
      <c r="B5" s="24">
        <f>'Daily Sales'!E37</f>
        <v>66400</v>
      </c>
      <c r="C5" s="32">
        <f t="shared" ref="C5:C10" si="0">IF(N($B$11)=0,"",B5/$B$11)</f>
        <v>0.21899736147757257</v>
      </c>
      <c r="D5" s="32">
        <f>N(Settings!C9)</f>
        <v>0</v>
      </c>
      <c r="E5" s="33">
        <f t="shared" ref="E5:E10" si="1">ROUND(B5*D5,2)</f>
        <v>0</v>
      </c>
      <c r="F5" s="33">
        <f>ROUND(E5*N(Settings!$B$6),2)</f>
        <v>0</v>
      </c>
      <c r="G5" s="33">
        <f t="shared" ref="G5:G10" si="2">B5-E5-F5</f>
        <v>66400</v>
      </c>
      <c r="H5" s="31" t="str">
        <f>Settings!B9&amp;""</f>
        <v>Cash drawer</v>
      </c>
    </row>
    <row r="6" spans="1:8" x14ac:dyDescent="0.3">
      <c r="A6" s="31" t="str">
        <f>Settings!A10</f>
        <v>UPI</v>
      </c>
      <c r="B6" s="24">
        <f>'Daily Sales'!F37</f>
        <v>97350</v>
      </c>
      <c r="C6" s="32">
        <f t="shared" si="0"/>
        <v>0.32107519788918204</v>
      </c>
      <c r="D6" s="32">
        <f>N(Settings!C10)</f>
        <v>0</v>
      </c>
      <c r="E6" s="33">
        <f t="shared" si="1"/>
        <v>0</v>
      </c>
      <c r="F6" s="33">
        <f>ROUND(E6*N(Settings!$B$6),2)</f>
        <v>0</v>
      </c>
      <c r="G6" s="33">
        <f t="shared" si="2"/>
        <v>97350</v>
      </c>
      <c r="H6" s="31" t="str">
        <f>Settings!B10&amp;""</f>
        <v>Bank (same day)</v>
      </c>
    </row>
    <row r="7" spans="1:8" x14ac:dyDescent="0.3">
      <c r="A7" s="31" t="str">
        <f>Settings!A11</f>
        <v>Card</v>
      </c>
      <c r="B7" s="24">
        <f>'Daily Sales'!G37</f>
        <v>42300</v>
      </c>
      <c r="C7" s="32">
        <f t="shared" si="0"/>
        <v>0.13951187335092349</v>
      </c>
      <c r="D7" s="32">
        <f>N(Settings!C11)</f>
        <v>0</v>
      </c>
      <c r="E7" s="33">
        <f t="shared" si="1"/>
        <v>0</v>
      </c>
      <c r="F7" s="33">
        <f>ROUND(E7*N(Settings!$B$6),2)</f>
        <v>0</v>
      </c>
      <c r="G7" s="33">
        <f t="shared" si="2"/>
        <v>42300</v>
      </c>
      <c r="H7" s="31" t="str">
        <f>Settings!B11&amp;""</f>
        <v>Bank (next day)</v>
      </c>
    </row>
    <row r="8" spans="1:8" x14ac:dyDescent="0.3">
      <c r="A8" s="31" t="str">
        <f>Settings!A12</f>
        <v>Swiggy</v>
      </c>
      <c r="B8" s="24">
        <f>'Daily Sales'!H37</f>
        <v>49800</v>
      </c>
      <c r="C8" s="32">
        <f t="shared" si="0"/>
        <v>0.16424802110817943</v>
      </c>
      <c r="D8" s="32">
        <f>N(Settings!C12)</f>
        <v>0.25</v>
      </c>
      <c r="E8" s="33">
        <f t="shared" si="1"/>
        <v>12450</v>
      </c>
      <c r="F8" s="33">
        <f>ROUND(E8*N(Settings!$B$6),2)</f>
        <v>2241</v>
      </c>
      <c r="G8" s="33">
        <f t="shared" si="2"/>
        <v>35109</v>
      </c>
      <c r="H8" s="31" t="str">
        <f>Settings!B12&amp;""</f>
        <v>Bank (weekly payout)</v>
      </c>
    </row>
    <row r="9" spans="1:8" x14ac:dyDescent="0.3">
      <c r="A9" s="31" t="str">
        <f>Settings!A13</f>
        <v>Zomato</v>
      </c>
      <c r="B9" s="24">
        <f>'Daily Sales'!I37</f>
        <v>46150</v>
      </c>
      <c r="C9" s="32">
        <f t="shared" si="0"/>
        <v>0.15220976253298152</v>
      </c>
      <c r="D9" s="32">
        <f>N(Settings!C13)</f>
        <v>0.25</v>
      </c>
      <c r="E9" s="33">
        <f t="shared" si="1"/>
        <v>11537.5</v>
      </c>
      <c r="F9" s="33">
        <f>ROUND(E9*N(Settings!$B$6),2)</f>
        <v>2076.75</v>
      </c>
      <c r="G9" s="33">
        <f t="shared" si="2"/>
        <v>32535.75</v>
      </c>
      <c r="H9" s="31" t="str">
        <f>Settings!B13&amp;""</f>
        <v>Bank (weekly payout)</v>
      </c>
    </row>
    <row r="10" spans="1:8" x14ac:dyDescent="0.3">
      <c r="A10" s="31" t="str">
        <f>Settings!A14</f>
        <v>Other</v>
      </c>
      <c r="B10" s="24">
        <f>'Daily Sales'!J37</f>
        <v>1200</v>
      </c>
      <c r="C10" s="32">
        <f t="shared" si="0"/>
        <v>3.9577836411609502E-3</v>
      </c>
      <c r="D10" s="32">
        <f>N(Settings!C14)</f>
        <v>0</v>
      </c>
      <c r="E10" s="33">
        <f t="shared" si="1"/>
        <v>0</v>
      </c>
      <c r="F10" s="33">
        <f>ROUND(E10*N(Settings!$B$6),2)</f>
        <v>0</v>
      </c>
      <c r="G10" s="33">
        <f t="shared" si="2"/>
        <v>1200</v>
      </c>
      <c r="H10" s="31" t="str">
        <f>Settings!B14&amp;""</f>
        <v>Bank</v>
      </c>
    </row>
    <row r="11" spans="1:8" x14ac:dyDescent="0.3">
      <c r="A11" s="28" t="s">
        <v>70</v>
      </c>
      <c r="B11" s="30">
        <f>SUM(B5:B10)</f>
        <v>303200</v>
      </c>
      <c r="C11" s="34">
        <f>SUM(C5:C10)</f>
        <v>0.99999999999999989</v>
      </c>
      <c r="E11" s="35">
        <f>SUM(E5:E10)</f>
        <v>23987.5</v>
      </c>
      <c r="F11" s="35">
        <f>SUM(F5:F10)</f>
        <v>4317.75</v>
      </c>
      <c r="G11" s="35">
        <f>SUM(G5:G10)</f>
        <v>274894.75</v>
      </c>
    </row>
    <row r="13" spans="1:8" x14ac:dyDescent="0.3">
      <c r="A13" s="12" t="s">
        <v>71</v>
      </c>
    </row>
    <row r="14" spans="1:8" x14ac:dyDescent="0.3">
      <c r="A14" s="31" t="s">
        <v>48</v>
      </c>
      <c r="B14" s="36">
        <f>'Daily Sales'!C37</f>
        <v>283</v>
      </c>
    </row>
    <row r="15" spans="1:8" x14ac:dyDescent="0.3">
      <c r="A15" s="31" t="s">
        <v>72</v>
      </c>
      <c r="B15" s="37">
        <f>IF(N(B14)=0,"",B11/B14)</f>
        <v>1071.3780918727916</v>
      </c>
    </row>
    <row r="16" spans="1:8" x14ac:dyDescent="0.3">
      <c r="A16" s="31" t="s">
        <v>73</v>
      </c>
      <c r="B16" s="36">
        <f>COUNTIF('Daily Sales'!K5:K35,"&gt;0")</f>
        <v>6</v>
      </c>
    </row>
    <row r="17" spans="1:2" x14ac:dyDescent="0.3">
      <c r="A17" s="31" t="s">
        <v>74</v>
      </c>
      <c r="B17" s="37">
        <f>IF(N(B16)=0,"",B11/B16)</f>
        <v>50533.333333333336</v>
      </c>
    </row>
    <row r="18" spans="1:2" x14ac:dyDescent="0.3">
      <c r="A18" s="31" t="s">
        <v>75</v>
      </c>
      <c r="B18" s="38">
        <f>IF(MAX('Daily Sales'!K5:K35)=0,"",INDEX('Daily Sales'!A5:A35,MATCH(MAX('Daily Sales'!K5:K35),'Daily Sales'!K5:K35,0)))</f>
        <v>46327</v>
      </c>
    </row>
    <row r="19" spans="1:2" x14ac:dyDescent="0.3">
      <c r="A19" s="31" t="s">
        <v>76</v>
      </c>
      <c r="B19" s="37">
        <f>MAX('Daily Sales'!K5:K35)</f>
        <v>72500</v>
      </c>
    </row>
    <row r="20" spans="1:2" x14ac:dyDescent="0.3">
      <c r="A20" s="31" t="s">
        <v>77</v>
      </c>
      <c r="B20" s="37">
        <f>'Daily Sales'!M37</f>
        <v>7900</v>
      </c>
    </row>
    <row r="21" spans="1:2" x14ac:dyDescent="0.3">
      <c r="A21" s="31" t="s">
        <v>53</v>
      </c>
      <c r="B21" s="37">
        <f>'Daily Sales'!N37</f>
        <v>53500</v>
      </c>
    </row>
    <row r="22" spans="1:2" x14ac:dyDescent="0.3">
      <c r="A22" s="31" t="s">
        <v>78</v>
      </c>
      <c r="B22" s="39">
        <f>'Daily Sales'!Q37</f>
        <v>-30</v>
      </c>
    </row>
    <row r="23" spans="1:2" x14ac:dyDescent="0.3">
      <c r="A23" s="31" t="s">
        <v>79</v>
      </c>
      <c r="B23" s="36">
        <f>COUNTIF('Daily Sales'!Q5:Q35,"&lt;0")</f>
        <v>1</v>
      </c>
    </row>
  </sheetData>
  <sheetProtection sheet="1" formatCells="0" formatColumns="0" formatRows="0" sort="0" autoFilter="0"/>
  <pageMargins left="0.4" right="0.4" top="1" bottom="1" header="0.5" footer="0.5"/>
  <pageSetup paperSize="9" fitToHeight="0"/>
  <headerFooter>
    <oddFooter>&amp;C&amp;8 Toolkit by GroupChatOn  ·  toolkit.groupchaton.com</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How to use</vt:lpstr>
      <vt:lpstr>Settings</vt:lpstr>
      <vt:lpstr>Daily Sales</vt:lpstr>
      <vt:lpstr>Month Summary</vt:lpstr>
      <vt:lpstr>'Daily Sales'!Print_Titles</vt:lpstr>
    </vt:vector>
  </TitlesOfParts>
  <Company>Nivesh Sahayak</Company>
  <LinksUpToDate>false</LinksUpToDate>
  <SharedDoc>false</SharedDoc>
  <HyperlinkBase>https://www.niveshsahayak.in/</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Restaurant Daily Sales &amp; Cash Register (Excel)</dc:title>
  <dc:subject>Free Excel daily sales register for restaurants and cloud kitchens: sales by payment mode, cash drawer check with short or excess, aggregator commission and a month summary.</dc:subject>
  <dc:creator>Nivesh Sahayak</dc:creator>
  <cp:keywords>Toolkit by GroupChatOn; Designed &amp; Developed by: Nivesh Sahayak</cp:keywords>
  <dc:description>Restaurant Daily Sales &amp; Cash Register (Excel). From Toolkit by GroupChatOn (https://toolkit.groupchaton.com). Designed &amp; Developed by: Nivesh Sahayak (https://www.niveshsahayak.in/)</dc:description>
  <cp:lastModifiedBy>Nivesh Sahayak</cp:lastModifiedBy>
  <dcterms:created xsi:type="dcterms:W3CDTF">2026-11-02T18:22:08Z</dcterms:created>
  <dcterms:modified xsi:type="dcterms:W3CDTF">2026-11-02T18:22:57Z</dcterms:modified>
  <cp:category>Restaurant &amp; Cloud Kitchen</cp:category>
</cp:coreProperties>
</file>